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7600" windowHeight="12270" firstSheet="6" activeTab="18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8" r:id="rId7"/>
    <sheet name="День 8" sheetId="9" r:id="rId8"/>
    <sheet name="День 9" sheetId="10" r:id="rId9"/>
    <sheet name="День 10" sheetId="11" r:id="rId10"/>
    <sheet name="День 11" sheetId="12" r:id="rId11"/>
    <sheet name="День 12" sheetId="13" r:id="rId12"/>
    <sheet name="День 13" sheetId="14" r:id="rId13"/>
    <sheet name="День 14" sheetId="15" r:id="rId14"/>
    <sheet name="День 15" sheetId="16" r:id="rId15"/>
    <sheet name="День 16" sheetId="17" r:id="rId16"/>
    <sheet name="День 17" sheetId="18" r:id="rId17"/>
    <sheet name="День 18" sheetId="19" r:id="rId18"/>
    <sheet name="День 19" sheetId="20" r:id="rId19"/>
    <sheet name="День 20" sheetId="2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2" l="1"/>
  <c r="G18" i="12"/>
  <c r="F18" i="12"/>
  <c r="E18" i="12"/>
  <c r="D18" i="12"/>
  <c r="H16" i="1"/>
  <c r="G16" i="1"/>
  <c r="F16" i="1"/>
  <c r="E16" i="1"/>
  <c r="D16" i="1"/>
  <c r="D17" i="1"/>
  <c r="E17" i="1"/>
  <c r="F17" i="1"/>
  <c r="G17" i="1"/>
  <c r="H17" i="1"/>
  <c r="H3" i="10" l="1"/>
  <c r="G3" i="10"/>
  <c r="F3" i="10"/>
  <c r="D3" i="10"/>
  <c r="E9" i="8"/>
  <c r="F9" i="8"/>
  <c r="G9" i="8"/>
  <c r="D15" i="5"/>
  <c r="D16" i="5"/>
  <c r="H21" i="4"/>
  <c r="G21" i="4"/>
  <c r="F21" i="4"/>
  <c r="E21" i="4"/>
  <c r="D21" i="4"/>
  <c r="E3" i="1"/>
  <c r="H3" i="13" l="1"/>
  <c r="G3" i="13"/>
  <c r="F3" i="13"/>
  <c r="E3" i="13"/>
  <c r="D3" i="13"/>
  <c r="H3" i="8"/>
  <c r="G3" i="8"/>
  <c r="F3" i="8"/>
  <c r="E3" i="8"/>
  <c r="D3" i="8"/>
  <c r="H3" i="3"/>
  <c r="G3" i="3"/>
  <c r="F3" i="3"/>
  <c r="E3" i="3"/>
  <c r="D3" i="3"/>
  <c r="H17" i="21"/>
  <c r="G17" i="21"/>
  <c r="F17" i="21"/>
  <c r="E17" i="21"/>
  <c r="D17" i="21"/>
  <c r="H16" i="21"/>
  <c r="G16" i="21"/>
  <c r="F16" i="21"/>
  <c r="E16" i="21"/>
  <c r="D16" i="21"/>
  <c r="H14" i="21"/>
  <c r="G14" i="21"/>
  <c r="F14" i="21"/>
  <c r="E14" i="21"/>
  <c r="D14" i="21"/>
  <c r="H11" i="21"/>
  <c r="G11" i="21"/>
  <c r="F11" i="21"/>
  <c r="E11" i="21"/>
  <c r="D11" i="21"/>
  <c r="H8" i="21"/>
  <c r="G8" i="21"/>
  <c r="F8" i="21"/>
  <c r="E8" i="21"/>
  <c r="D8" i="21"/>
  <c r="H7" i="21"/>
  <c r="G7" i="21"/>
  <c r="F7" i="21"/>
  <c r="E7" i="21"/>
  <c r="D7" i="21"/>
  <c r="H5" i="21"/>
  <c r="G5" i="21"/>
  <c r="F5" i="21"/>
  <c r="E5" i="21"/>
  <c r="D5" i="21"/>
  <c r="H3" i="21"/>
  <c r="G3" i="21"/>
  <c r="F3" i="21"/>
  <c r="E3" i="21"/>
  <c r="D3" i="21"/>
  <c r="H17" i="20"/>
  <c r="G17" i="20"/>
  <c r="F17" i="20"/>
  <c r="E17" i="20"/>
  <c r="D17" i="20"/>
  <c r="G16" i="20"/>
  <c r="F16" i="20"/>
  <c r="E16" i="20"/>
  <c r="D16" i="20"/>
  <c r="H15" i="20"/>
  <c r="G15" i="20"/>
  <c r="F15" i="20"/>
  <c r="E15" i="20"/>
  <c r="D15" i="20"/>
  <c r="H14" i="20"/>
  <c r="G14" i="20"/>
  <c r="F14" i="20"/>
  <c r="E14" i="20"/>
  <c r="D14" i="20"/>
  <c r="G13" i="20"/>
  <c r="F13" i="20"/>
  <c r="E13" i="20"/>
  <c r="D13" i="20"/>
  <c r="H10" i="20"/>
  <c r="G10" i="20"/>
  <c r="F10" i="20"/>
  <c r="E10" i="20"/>
  <c r="D10" i="20"/>
  <c r="H9" i="20"/>
  <c r="G9" i="20"/>
  <c r="F9" i="20"/>
  <c r="E9" i="20"/>
  <c r="D9" i="20"/>
  <c r="G8" i="20"/>
  <c r="F8" i="20"/>
  <c r="E8" i="20"/>
  <c r="D8" i="20"/>
  <c r="H7" i="20"/>
  <c r="G7" i="20"/>
  <c r="F7" i="20"/>
  <c r="E7" i="20"/>
  <c r="D7" i="20"/>
  <c r="H5" i="20"/>
  <c r="G5" i="20"/>
  <c r="F5" i="20"/>
  <c r="E5" i="20"/>
  <c r="D5" i="20"/>
  <c r="H3" i="20"/>
  <c r="G3" i="20"/>
  <c r="F3" i="20"/>
  <c r="E3" i="20"/>
  <c r="D3" i="20"/>
  <c r="H17" i="19"/>
  <c r="G17" i="19"/>
  <c r="F17" i="19"/>
  <c r="E17" i="19"/>
  <c r="D17" i="19"/>
  <c r="H18" i="19"/>
  <c r="G18" i="19"/>
  <c r="F18" i="19"/>
  <c r="E18" i="19"/>
  <c r="D18" i="19"/>
  <c r="H15" i="19"/>
  <c r="G15" i="19"/>
  <c r="F15" i="19"/>
  <c r="E15" i="19"/>
  <c r="D15" i="19"/>
  <c r="H12" i="19"/>
  <c r="G12" i="19"/>
  <c r="F12" i="19"/>
  <c r="E12" i="19"/>
  <c r="D12" i="19"/>
  <c r="H11" i="19"/>
  <c r="G11" i="19"/>
  <c r="F11" i="19"/>
  <c r="E11" i="19"/>
  <c r="D11" i="19"/>
  <c r="G10" i="19"/>
  <c r="F10" i="19"/>
  <c r="E10" i="19"/>
  <c r="D10" i="19"/>
  <c r="H18" i="14"/>
  <c r="G18" i="14"/>
  <c r="F18" i="14"/>
  <c r="E18" i="14"/>
  <c r="D18" i="14"/>
  <c r="H17" i="14"/>
  <c r="G17" i="14"/>
  <c r="F17" i="14"/>
  <c r="E17" i="14"/>
  <c r="D17" i="14"/>
  <c r="H9" i="19"/>
  <c r="G9" i="19"/>
  <c r="F9" i="19"/>
  <c r="E9" i="19"/>
  <c r="D9" i="19"/>
  <c r="H8" i="19"/>
  <c r="G8" i="19"/>
  <c r="F8" i="19"/>
  <c r="E8" i="19"/>
  <c r="D8" i="19"/>
  <c r="H7" i="19"/>
  <c r="G7" i="19"/>
  <c r="F7" i="19"/>
  <c r="E7" i="19"/>
  <c r="D7" i="19"/>
  <c r="H5" i="19"/>
  <c r="G5" i="19"/>
  <c r="F5" i="19"/>
  <c r="E5" i="19"/>
  <c r="D5" i="19"/>
  <c r="G4" i="21"/>
  <c r="F4" i="21"/>
  <c r="E4" i="21"/>
  <c r="D4" i="21"/>
  <c r="G4" i="20"/>
  <c r="F4" i="20"/>
  <c r="E4" i="20"/>
  <c r="D4" i="20"/>
  <c r="G4" i="19"/>
  <c r="F4" i="19"/>
  <c r="E4" i="19"/>
  <c r="D4" i="19"/>
  <c r="G4" i="17"/>
  <c r="F4" i="17"/>
  <c r="E4" i="17"/>
  <c r="D4" i="17"/>
  <c r="G4" i="16"/>
  <c r="F4" i="16"/>
  <c r="E4" i="16"/>
  <c r="D4" i="16"/>
  <c r="H3" i="19"/>
  <c r="G3" i="19"/>
  <c r="F3" i="19"/>
  <c r="E3" i="19"/>
  <c r="D3" i="19"/>
  <c r="H15" i="18"/>
  <c r="G15" i="18"/>
  <c r="F15" i="18"/>
  <c r="E15" i="18"/>
  <c r="D15" i="18"/>
  <c r="H14" i="18"/>
  <c r="G14" i="18"/>
  <c r="F14" i="18"/>
  <c r="E14" i="18"/>
  <c r="D14" i="18"/>
  <c r="G13" i="18"/>
  <c r="F13" i="18"/>
  <c r="E13" i="18"/>
  <c r="D13" i="18"/>
  <c r="H12" i="18"/>
  <c r="G12" i="18"/>
  <c r="F12" i="18"/>
  <c r="E12" i="18"/>
  <c r="D12" i="18"/>
  <c r="H9" i="18"/>
  <c r="G9" i="18"/>
  <c r="F9" i="18"/>
  <c r="E9" i="18"/>
  <c r="D9" i="18"/>
  <c r="H8" i="18"/>
  <c r="G8" i="18"/>
  <c r="F8" i="18"/>
  <c r="E8" i="18"/>
  <c r="D8" i="18"/>
  <c r="H7" i="18"/>
  <c r="G7" i="18"/>
  <c r="F7" i="18"/>
  <c r="E7" i="18"/>
  <c r="D7" i="18"/>
  <c r="H5" i="18"/>
  <c r="G5" i="18"/>
  <c r="F5" i="18"/>
  <c r="E5" i="18"/>
  <c r="D5" i="18"/>
  <c r="H4" i="18"/>
  <c r="G4" i="18"/>
  <c r="F4" i="18"/>
  <c r="E4" i="18"/>
  <c r="D4" i="18"/>
  <c r="H3" i="18"/>
  <c r="G3" i="18"/>
  <c r="F3" i="18"/>
  <c r="E3" i="18"/>
  <c r="D3" i="18"/>
  <c r="H19" i="17"/>
  <c r="G19" i="17"/>
  <c r="F19" i="17"/>
  <c r="E19" i="17"/>
  <c r="D19" i="17"/>
  <c r="H18" i="17"/>
  <c r="G18" i="17"/>
  <c r="F18" i="17"/>
  <c r="E18" i="17"/>
  <c r="D18" i="17"/>
  <c r="G17" i="17"/>
  <c r="F17" i="17"/>
  <c r="E17" i="17"/>
  <c r="D17" i="17"/>
  <c r="G16" i="17"/>
  <c r="F16" i="17"/>
  <c r="E16" i="17"/>
  <c r="D16" i="17"/>
  <c r="H15" i="17"/>
  <c r="G15" i="17"/>
  <c r="F15" i="17"/>
  <c r="E15" i="17"/>
  <c r="D15" i="17"/>
  <c r="H12" i="17"/>
  <c r="G12" i="17"/>
  <c r="F12" i="17"/>
  <c r="E12" i="17"/>
  <c r="D12" i="17"/>
  <c r="G11" i="17"/>
  <c r="F11" i="17"/>
  <c r="E11" i="17"/>
  <c r="D11" i="17"/>
  <c r="H10" i="17"/>
  <c r="G10" i="17"/>
  <c r="F10" i="17"/>
  <c r="E10" i="17"/>
  <c r="D10" i="17"/>
  <c r="H9" i="17"/>
  <c r="G9" i="17"/>
  <c r="F9" i="17"/>
  <c r="E9" i="17"/>
  <c r="D9" i="17"/>
  <c r="H8" i="17"/>
  <c r="G8" i="17"/>
  <c r="F8" i="17"/>
  <c r="E8" i="17"/>
  <c r="D8" i="17"/>
  <c r="H7" i="17"/>
  <c r="G7" i="17"/>
  <c r="F7" i="17"/>
  <c r="E7" i="17"/>
  <c r="D7" i="17"/>
  <c r="H5" i="17"/>
  <c r="G5" i="17"/>
  <c r="F5" i="17"/>
  <c r="E5" i="17"/>
  <c r="D5" i="17"/>
  <c r="H3" i="17"/>
  <c r="G3" i="17"/>
  <c r="F3" i="17"/>
  <c r="E3" i="17"/>
  <c r="D3" i="17"/>
  <c r="H18" i="16"/>
  <c r="G18" i="16"/>
  <c r="F18" i="16"/>
  <c r="E18" i="16"/>
  <c r="D18" i="16"/>
  <c r="H17" i="16"/>
  <c r="G17" i="16"/>
  <c r="F17" i="16"/>
  <c r="E17" i="16"/>
  <c r="D17" i="16"/>
  <c r="H15" i="16"/>
  <c r="G15" i="16"/>
  <c r="F15" i="16"/>
  <c r="E15" i="16"/>
  <c r="D15" i="16"/>
  <c r="H12" i="16"/>
  <c r="G12" i="16"/>
  <c r="F12" i="16"/>
  <c r="E12" i="16"/>
  <c r="D12" i="16"/>
  <c r="H11" i="16"/>
  <c r="G11" i="16"/>
  <c r="F11" i="16"/>
  <c r="E11" i="16"/>
  <c r="D11" i="16"/>
  <c r="G10" i="16"/>
  <c r="F10" i="16"/>
  <c r="E10" i="16"/>
  <c r="D10" i="16"/>
  <c r="H9" i="16"/>
  <c r="G9" i="16"/>
  <c r="F9" i="16"/>
  <c r="E9" i="16"/>
  <c r="D9" i="16"/>
  <c r="H8" i="16"/>
  <c r="G8" i="16"/>
  <c r="F8" i="16"/>
  <c r="E8" i="16"/>
  <c r="D8" i="16"/>
  <c r="H7" i="16"/>
  <c r="G7" i="16"/>
  <c r="F7" i="16"/>
  <c r="E7" i="16"/>
  <c r="D7" i="16"/>
  <c r="H5" i="16"/>
  <c r="G5" i="16"/>
  <c r="F5" i="16"/>
  <c r="E5" i="16"/>
  <c r="D5" i="16"/>
  <c r="H3" i="16"/>
  <c r="G3" i="16"/>
  <c r="F3" i="16"/>
  <c r="E3" i="16"/>
  <c r="D3" i="16"/>
  <c r="H16" i="15"/>
  <c r="G16" i="15"/>
  <c r="F16" i="15"/>
  <c r="E16" i="15"/>
  <c r="D16" i="15"/>
  <c r="H15" i="15"/>
  <c r="G15" i="15"/>
  <c r="F15" i="15"/>
  <c r="E15" i="15"/>
  <c r="D15" i="15"/>
  <c r="G14" i="15"/>
  <c r="F14" i="15"/>
  <c r="E14" i="15"/>
  <c r="D14" i="15"/>
  <c r="H13" i="15"/>
  <c r="G13" i="15"/>
  <c r="F13" i="15"/>
  <c r="E13" i="15"/>
  <c r="D13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H5" i="15"/>
  <c r="G5" i="15"/>
  <c r="F5" i="15"/>
  <c r="E5" i="15"/>
  <c r="D5" i="15"/>
  <c r="G4" i="15"/>
  <c r="F4" i="15"/>
  <c r="E4" i="15"/>
  <c r="D4" i="15"/>
  <c r="H3" i="15"/>
  <c r="G3" i="15"/>
  <c r="F3" i="15"/>
  <c r="E3" i="15"/>
  <c r="D3" i="15"/>
  <c r="H19" i="14"/>
  <c r="G19" i="14"/>
  <c r="F19" i="14"/>
  <c r="E19" i="14"/>
  <c r="D19" i="14"/>
  <c r="G16" i="14"/>
  <c r="F16" i="14"/>
  <c r="E16" i="14"/>
  <c r="D16" i="14"/>
  <c r="H15" i="14"/>
  <c r="G15" i="14"/>
  <c r="F15" i="14"/>
  <c r="E15" i="14"/>
  <c r="D15" i="14"/>
  <c r="D13" i="14"/>
  <c r="H12" i="14"/>
  <c r="G12" i="14"/>
  <c r="F12" i="14"/>
  <c r="E12" i="14"/>
  <c r="D12" i="14"/>
  <c r="H11" i="11"/>
  <c r="G11" i="11"/>
  <c r="F11" i="11"/>
  <c r="E11" i="11"/>
  <c r="D11" i="11"/>
  <c r="H12" i="8"/>
  <c r="G12" i="8"/>
  <c r="F12" i="8"/>
  <c r="E12" i="8"/>
  <c r="D12" i="8"/>
  <c r="H12" i="9"/>
  <c r="G12" i="9"/>
  <c r="F12" i="9"/>
  <c r="E12" i="9"/>
  <c r="D12" i="9"/>
  <c r="H11" i="14"/>
  <c r="G11" i="14"/>
  <c r="F11" i="14"/>
  <c r="E11" i="14"/>
  <c r="D11" i="14"/>
  <c r="G10" i="14"/>
  <c r="F10" i="14"/>
  <c r="E10" i="14"/>
  <c r="D10" i="14"/>
  <c r="G9" i="14"/>
  <c r="F9" i="14"/>
  <c r="E9" i="14"/>
  <c r="D9" i="14"/>
  <c r="H8" i="14"/>
  <c r="G8" i="14"/>
  <c r="F8" i="14"/>
  <c r="E8" i="14"/>
  <c r="D8" i="14"/>
  <c r="H7" i="14"/>
  <c r="G7" i="14"/>
  <c r="F7" i="14"/>
  <c r="E7" i="14"/>
  <c r="D7" i="14"/>
  <c r="H5" i="14"/>
  <c r="G5" i="14"/>
  <c r="F5" i="14"/>
  <c r="E5" i="14"/>
  <c r="D5" i="14"/>
  <c r="G4" i="14"/>
  <c r="F4" i="14"/>
  <c r="E4" i="14"/>
  <c r="D4" i="14"/>
  <c r="H3" i="14"/>
  <c r="G3" i="14"/>
  <c r="F3" i="14"/>
  <c r="E3" i="14"/>
  <c r="D3" i="14"/>
  <c r="H19" i="13"/>
  <c r="G19" i="13"/>
  <c r="F19" i="13"/>
  <c r="E19" i="13"/>
  <c r="D19" i="13"/>
  <c r="H18" i="13"/>
  <c r="G18" i="13"/>
  <c r="F18" i="13"/>
  <c r="E18" i="13"/>
  <c r="D18" i="13"/>
  <c r="H17" i="13"/>
  <c r="G17" i="13"/>
  <c r="F17" i="13"/>
  <c r="E17" i="13"/>
  <c r="D17" i="13"/>
  <c r="H16" i="13"/>
  <c r="G16" i="13"/>
  <c r="F16" i="13"/>
  <c r="E16" i="13"/>
  <c r="D16" i="13"/>
  <c r="H15" i="13"/>
  <c r="G15" i="13"/>
  <c r="F15" i="13"/>
  <c r="E15" i="13"/>
  <c r="D15" i="13"/>
  <c r="H12" i="13"/>
  <c r="G12" i="13"/>
  <c r="F12" i="13"/>
  <c r="E12" i="13"/>
  <c r="D12" i="13"/>
  <c r="H11" i="13"/>
  <c r="G11" i="13"/>
  <c r="F11" i="13"/>
  <c r="E11" i="13"/>
  <c r="D11" i="13"/>
  <c r="G10" i="13"/>
  <c r="F10" i="13"/>
  <c r="E10" i="13"/>
  <c r="D10" i="13"/>
  <c r="H9" i="13"/>
  <c r="G9" i="13"/>
  <c r="F9" i="13"/>
  <c r="E9" i="13"/>
  <c r="D9" i="13"/>
  <c r="H8" i="13"/>
  <c r="G8" i="13"/>
  <c r="F8" i="13"/>
  <c r="E8" i="13"/>
  <c r="D8" i="13"/>
  <c r="H7" i="13"/>
  <c r="G7" i="13"/>
  <c r="F7" i="13"/>
  <c r="E7" i="13"/>
  <c r="D7" i="13"/>
  <c r="H5" i="13"/>
  <c r="G5" i="13"/>
  <c r="F5" i="13"/>
  <c r="E5" i="13"/>
  <c r="D5" i="13"/>
  <c r="G4" i="13"/>
  <c r="F4" i="13"/>
  <c r="E4" i="13"/>
  <c r="D4" i="13"/>
  <c r="G21" i="12"/>
  <c r="F21" i="12"/>
  <c r="E21" i="12"/>
  <c r="D21" i="12"/>
  <c r="G20" i="12"/>
  <c r="F20" i="12"/>
  <c r="E20" i="12"/>
  <c r="D20" i="12"/>
  <c r="H19" i="12"/>
  <c r="G19" i="12"/>
  <c r="F19" i="12"/>
  <c r="E19" i="12"/>
  <c r="D19" i="12"/>
  <c r="H17" i="12"/>
  <c r="G17" i="12"/>
  <c r="F17" i="12"/>
  <c r="E17" i="12"/>
  <c r="D17" i="12"/>
  <c r="G16" i="12"/>
  <c r="F16" i="12"/>
  <c r="E16" i="12"/>
  <c r="D16" i="12"/>
  <c r="H15" i="12"/>
  <c r="G15" i="12"/>
  <c r="F15" i="12"/>
  <c r="E15" i="12"/>
  <c r="D15" i="12"/>
  <c r="G14" i="12"/>
  <c r="F14" i="12"/>
  <c r="E14" i="12"/>
  <c r="D14" i="12"/>
  <c r="G13" i="12"/>
  <c r="F13" i="12"/>
  <c r="E13" i="12"/>
  <c r="D13" i="12"/>
  <c r="H12" i="12"/>
  <c r="G12" i="12"/>
  <c r="F12" i="12"/>
  <c r="E12" i="12"/>
  <c r="D12" i="12"/>
  <c r="H9" i="12"/>
  <c r="G9" i="12"/>
  <c r="F9" i="12"/>
  <c r="E9" i="12"/>
  <c r="D9" i="12"/>
  <c r="G8" i="12"/>
  <c r="F8" i="12"/>
  <c r="E8" i="12"/>
  <c r="D8" i="12"/>
  <c r="H7" i="12"/>
  <c r="G7" i="12"/>
  <c r="F7" i="12"/>
  <c r="E7" i="12"/>
  <c r="D7" i="12"/>
  <c r="H5" i="12"/>
  <c r="G5" i="12"/>
  <c r="F5" i="12"/>
  <c r="E5" i="12"/>
  <c r="D5" i="12"/>
  <c r="G4" i="12"/>
  <c r="F4" i="12"/>
  <c r="E4" i="12"/>
  <c r="D4" i="12"/>
  <c r="H3" i="12"/>
  <c r="G3" i="12"/>
  <c r="F3" i="12"/>
  <c r="E3" i="12"/>
  <c r="D3" i="12"/>
  <c r="G20" i="21"/>
  <c r="F20" i="21"/>
  <c r="E20" i="21"/>
  <c r="D20" i="21"/>
  <c r="G19" i="21"/>
  <c r="F19" i="21"/>
  <c r="E19" i="21"/>
  <c r="D19" i="21"/>
  <c r="G13" i="21"/>
  <c r="F13" i="21"/>
  <c r="E13" i="21"/>
  <c r="D13" i="21"/>
  <c r="G12" i="21"/>
  <c r="F12" i="21"/>
  <c r="E12" i="21"/>
  <c r="D12" i="21"/>
  <c r="G20" i="20"/>
  <c r="F20" i="20"/>
  <c r="E20" i="20"/>
  <c r="D20" i="20"/>
  <c r="G19" i="20"/>
  <c r="F19" i="20"/>
  <c r="E19" i="20"/>
  <c r="D19" i="20"/>
  <c r="G12" i="20"/>
  <c r="F12" i="20"/>
  <c r="E12" i="20"/>
  <c r="D12" i="20"/>
  <c r="G11" i="20"/>
  <c r="F11" i="20"/>
  <c r="E11" i="20"/>
  <c r="D11" i="20"/>
  <c r="G21" i="19"/>
  <c r="F21" i="19"/>
  <c r="E21" i="19"/>
  <c r="D21" i="19"/>
  <c r="G20" i="19"/>
  <c r="F20" i="19"/>
  <c r="E20" i="19"/>
  <c r="D20" i="19"/>
  <c r="G14" i="19"/>
  <c r="F14" i="19"/>
  <c r="E14" i="19"/>
  <c r="D14" i="19"/>
  <c r="G13" i="19"/>
  <c r="F13" i="19"/>
  <c r="E13" i="19"/>
  <c r="D13" i="19"/>
  <c r="G18" i="18"/>
  <c r="F18" i="18"/>
  <c r="E18" i="18"/>
  <c r="D18" i="18"/>
  <c r="G17" i="18"/>
  <c r="F17" i="18"/>
  <c r="E17" i="18"/>
  <c r="D17" i="18"/>
  <c r="G11" i="18"/>
  <c r="F11" i="18"/>
  <c r="E11" i="18"/>
  <c r="D11" i="18"/>
  <c r="G10" i="18"/>
  <c r="F10" i="18"/>
  <c r="E10" i="18"/>
  <c r="D10" i="18"/>
  <c r="G22" i="17"/>
  <c r="F22" i="17"/>
  <c r="E22" i="17"/>
  <c r="D22" i="17"/>
  <c r="G21" i="17"/>
  <c r="F21" i="17"/>
  <c r="E21" i="17"/>
  <c r="D21" i="17"/>
  <c r="G14" i="17"/>
  <c r="F14" i="17"/>
  <c r="E14" i="17"/>
  <c r="D14" i="17"/>
  <c r="G13" i="17"/>
  <c r="F13" i="17"/>
  <c r="E13" i="17"/>
  <c r="D13" i="17"/>
  <c r="G21" i="16"/>
  <c r="F21" i="16"/>
  <c r="E21" i="16"/>
  <c r="D21" i="16"/>
  <c r="G20" i="16"/>
  <c r="F20" i="16"/>
  <c r="E20" i="16"/>
  <c r="D20" i="16"/>
  <c r="G14" i="16"/>
  <c r="F14" i="16"/>
  <c r="E14" i="16"/>
  <c r="D14" i="16"/>
  <c r="G13" i="16"/>
  <c r="F13" i="16"/>
  <c r="E13" i="16"/>
  <c r="D13" i="16"/>
  <c r="G19" i="15"/>
  <c r="F19" i="15"/>
  <c r="E19" i="15"/>
  <c r="D19" i="15"/>
  <c r="G18" i="15"/>
  <c r="F18" i="15"/>
  <c r="E18" i="15"/>
  <c r="D18" i="15"/>
  <c r="G12" i="15"/>
  <c r="F12" i="15"/>
  <c r="E12" i="15"/>
  <c r="D12" i="15"/>
  <c r="G11" i="15"/>
  <c r="F11" i="15"/>
  <c r="E11" i="15"/>
  <c r="D11" i="15"/>
  <c r="G22" i="14"/>
  <c r="F22" i="14"/>
  <c r="E22" i="14"/>
  <c r="D22" i="14"/>
  <c r="G21" i="14"/>
  <c r="F21" i="14"/>
  <c r="E21" i="14"/>
  <c r="D21" i="14"/>
  <c r="G14" i="14"/>
  <c r="F14" i="14"/>
  <c r="E14" i="14"/>
  <c r="D14" i="14"/>
  <c r="G13" i="14"/>
  <c r="F13" i="14"/>
  <c r="E13" i="14"/>
  <c r="G22" i="13"/>
  <c r="F22" i="13"/>
  <c r="E22" i="13"/>
  <c r="D22" i="13"/>
  <c r="G21" i="13"/>
  <c r="F21" i="13"/>
  <c r="E21" i="13"/>
  <c r="D21" i="13"/>
  <c r="G14" i="13"/>
  <c r="F14" i="13"/>
  <c r="E14" i="13"/>
  <c r="D14" i="13"/>
  <c r="G13" i="13"/>
  <c r="F13" i="13"/>
  <c r="E13" i="13"/>
  <c r="D13" i="13"/>
  <c r="G20" i="11"/>
  <c r="F20" i="11"/>
  <c r="E20" i="11"/>
  <c r="D20" i="11"/>
  <c r="G19" i="11"/>
  <c r="F19" i="11"/>
  <c r="E19" i="11"/>
  <c r="D19" i="11"/>
  <c r="G13" i="11"/>
  <c r="F13" i="11"/>
  <c r="E13" i="11"/>
  <c r="D13" i="11"/>
  <c r="G12" i="11"/>
  <c r="F12" i="11"/>
  <c r="E12" i="11"/>
  <c r="D12" i="11"/>
  <c r="G22" i="10"/>
  <c r="F22" i="10"/>
  <c r="E22" i="10"/>
  <c r="D22" i="10"/>
  <c r="G21" i="10"/>
  <c r="F21" i="10"/>
  <c r="E21" i="10"/>
  <c r="D21" i="10"/>
  <c r="G14" i="10"/>
  <c r="F14" i="10"/>
  <c r="E14" i="10"/>
  <c r="D14" i="10"/>
  <c r="G13" i="10"/>
  <c r="F13" i="10"/>
  <c r="E13" i="10"/>
  <c r="D13" i="10"/>
  <c r="G21" i="9"/>
  <c r="F21" i="9"/>
  <c r="E21" i="9"/>
  <c r="D21" i="9"/>
  <c r="G20" i="9"/>
  <c r="F20" i="9"/>
  <c r="E20" i="9"/>
  <c r="D20" i="9"/>
  <c r="G14" i="9"/>
  <c r="F14" i="9"/>
  <c r="E14" i="9"/>
  <c r="D14" i="9"/>
  <c r="G13" i="9"/>
  <c r="F13" i="9"/>
  <c r="E13" i="9"/>
  <c r="D13" i="9"/>
  <c r="G21" i="8"/>
  <c r="F21" i="8"/>
  <c r="E21" i="8"/>
  <c r="D21" i="8"/>
  <c r="G20" i="8"/>
  <c r="F20" i="8"/>
  <c r="E20" i="8"/>
  <c r="D20" i="8"/>
  <c r="G14" i="8"/>
  <c r="F14" i="8"/>
  <c r="E14" i="8"/>
  <c r="D14" i="8"/>
  <c r="G13" i="8"/>
  <c r="F13" i="8"/>
  <c r="E13" i="8"/>
  <c r="D13" i="8"/>
  <c r="G20" i="6"/>
  <c r="F20" i="6"/>
  <c r="E20" i="6"/>
  <c r="D20" i="6"/>
  <c r="G19" i="6"/>
  <c r="F19" i="6"/>
  <c r="E19" i="6"/>
  <c r="D19" i="6"/>
  <c r="G12" i="6"/>
  <c r="F12" i="6"/>
  <c r="E12" i="6"/>
  <c r="D12" i="6"/>
  <c r="G11" i="6"/>
  <c r="F11" i="6"/>
  <c r="E11" i="6"/>
  <c r="D11" i="6"/>
  <c r="G21" i="5"/>
  <c r="F21" i="5"/>
  <c r="E21" i="5"/>
  <c r="D21" i="5"/>
  <c r="G20" i="5"/>
  <c r="F20" i="5"/>
  <c r="E20" i="5"/>
  <c r="D20" i="5"/>
  <c r="G13" i="5"/>
  <c r="F13" i="5"/>
  <c r="E13" i="5"/>
  <c r="D13" i="5"/>
  <c r="G12" i="5"/>
  <c r="F12" i="5"/>
  <c r="E12" i="5"/>
  <c r="D12" i="5"/>
  <c r="G23" i="4"/>
  <c r="F23" i="4"/>
  <c r="E23" i="4"/>
  <c r="D23" i="4"/>
  <c r="G22" i="4"/>
  <c r="F22" i="4"/>
  <c r="E22" i="4"/>
  <c r="D22" i="4"/>
  <c r="G15" i="4"/>
  <c r="F15" i="4"/>
  <c r="E15" i="4"/>
  <c r="D15" i="4"/>
  <c r="G14" i="4"/>
  <c r="F14" i="4"/>
  <c r="E14" i="4"/>
  <c r="D14" i="4"/>
  <c r="G22" i="3"/>
  <c r="F22" i="3"/>
  <c r="E22" i="3"/>
  <c r="D22" i="3"/>
  <c r="G21" i="3"/>
  <c r="F21" i="3"/>
  <c r="E21" i="3"/>
  <c r="D21" i="3"/>
  <c r="G14" i="3"/>
  <c r="F14" i="3"/>
  <c r="E14" i="3"/>
  <c r="D14" i="3"/>
  <c r="G13" i="3"/>
  <c r="F13" i="3"/>
  <c r="E13" i="3"/>
  <c r="D13" i="3"/>
  <c r="G22" i="2"/>
  <c r="F22" i="2"/>
  <c r="E22" i="2"/>
  <c r="D22" i="2"/>
  <c r="G21" i="2"/>
  <c r="F21" i="2"/>
  <c r="E21" i="2"/>
  <c r="D21" i="2"/>
  <c r="G15" i="2"/>
  <c r="F15" i="2"/>
  <c r="E15" i="2"/>
  <c r="D15" i="2"/>
  <c r="G14" i="2"/>
  <c r="F14" i="2"/>
  <c r="E14" i="2"/>
  <c r="D14" i="2"/>
  <c r="G20" i="1"/>
  <c r="F20" i="1"/>
  <c r="E20" i="1"/>
  <c r="D20" i="1"/>
  <c r="G19" i="1"/>
  <c r="F19" i="1"/>
  <c r="E19" i="1"/>
  <c r="D19" i="1"/>
  <c r="G12" i="1"/>
  <c r="F12" i="1"/>
  <c r="E12" i="1"/>
  <c r="D12" i="1"/>
  <c r="G11" i="1"/>
  <c r="F11" i="1"/>
  <c r="E11" i="1"/>
  <c r="D11" i="1"/>
  <c r="D5" i="11"/>
  <c r="H17" i="11" l="1"/>
  <c r="G17" i="11"/>
  <c r="F17" i="11"/>
  <c r="E17" i="11"/>
  <c r="D17" i="11"/>
  <c r="H16" i="11"/>
  <c r="G16" i="11"/>
  <c r="F16" i="11"/>
  <c r="E16" i="11"/>
  <c r="D16" i="11"/>
  <c r="H14" i="11"/>
  <c r="G14" i="11"/>
  <c r="F14" i="11"/>
  <c r="E14" i="11"/>
  <c r="D14" i="11"/>
  <c r="G10" i="11"/>
  <c r="F10" i="11"/>
  <c r="E10" i="11"/>
  <c r="D10" i="11"/>
  <c r="H9" i="11"/>
  <c r="G9" i="11"/>
  <c r="F9" i="11"/>
  <c r="E9" i="11"/>
  <c r="D9" i="11"/>
  <c r="H8" i="11"/>
  <c r="G8" i="11"/>
  <c r="F8" i="11"/>
  <c r="E8" i="11"/>
  <c r="D8" i="11"/>
  <c r="H7" i="11"/>
  <c r="G7" i="11"/>
  <c r="F7" i="11"/>
  <c r="E7" i="11"/>
  <c r="D7" i="11"/>
  <c r="H5" i="11"/>
  <c r="G5" i="11"/>
  <c r="F5" i="11"/>
  <c r="E5" i="11"/>
  <c r="H3" i="11"/>
  <c r="G3" i="11"/>
  <c r="F3" i="11"/>
  <c r="E3" i="11"/>
  <c r="D3" i="11"/>
  <c r="H19" i="10"/>
  <c r="G19" i="10"/>
  <c r="F19" i="10"/>
  <c r="E19" i="10"/>
  <c r="D19" i="10"/>
  <c r="H18" i="10"/>
  <c r="G18" i="10"/>
  <c r="F18" i="10"/>
  <c r="E18" i="10"/>
  <c r="D18" i="10"/>
  <c r="H17" i="10"/>
  <c r="G17" i="10"/>
  <c r="F17" i="10"/>
  <c r="E17" i="10"/>
  <c r="D17" i="10"/>
  <c r="H16" i="10"/>
  <c r="G16" i="10"/>
  <c r="F16" i="10"/>
  <c r="E16" i="10"/>
  <c r="D16" i="10"/>
  <c r="H15" i="10"/>
  <c r="G15" i="10"/>
  <c r="F15" i="10"/>
  <c r="E15" i="10"/>
  <c r="D15" i="10"/>
  <c r="H12" i="10"/>
  <c r="G12" i="10"/>
  <c r="F12" i="10"/>
  <c r="E12" i="10"/>
  <c r="D12" i="10"/>
  <c r="G10" i="10"/>
  <c r="F10" i="10"/>
  <c r="E10" i="10"/>
  <c r="D10" i="10"/>
  <c r="H9" i="10"/>
  <c r="G9" i="10"/>
  <c r="F9" i="10"/>
  <c r="E9" i="10"/>
  <c r="D9" i="10"/>
  <c r="H8" i="10"/>
  <c r="G8" i="10"/>
  <c r="F8" i="10"/>
  <c r="E8" i="10"/>
  <c r="D8" i="10"/>
  <c r="H7" i="10"/>
  <c r="G7" i="10"/>
  <c r="F7" i="10"/>
  <c r="E7" i="10"/>
  <c r="D7" i="10"/>
  <c r="H5" i="10"/>
  <c r="G5" i="10"/>
  <c r="F5" i="10"/>
  <c r="E5" i="10"/>
  <c r="D5" i="10"/>
  <c r="E3" i="10"/>
  <c r="H18" i="9"/>
  <c r="G18" i="9"/>
  <c r="F18" i="9"/>
  <c r="E18" i="9"/>
  <c r="D18" i="9"/>
  <c r="H17" i="9"/>
  <c r="G17" i="9"/>
  <c r="F17" i="9"/>
  <c r="E17" i="9"/>
  <c r="D17" i="9"/>
  <c r="G16" i="9"/>
  <c r="F16" i="9"/>
  <c r="E16" i="9"/>
  <c r="D16" i="9"/>
  <c r="H15" i="9"/>
  <c r="G15" i="9"/>
  <c r="F15" i="9"/>
  <c r="E15" i="9"/>
  <c r="D15" i="9"/>
  <c r="H11" i="9"/>
  <c r="G11" i="9"/>
  <c r="F11" i="9"/>
  <c r="E11" i="9"/>
  <c r="D11" i="9"/>
  <c r="H10" i="9"/>
  <c r="G10" i="9"/>
  <c r="F10" i="9"/>
  <c r="E10" i="9"/>
  <c r="D10" i="9"/>
  <c r="H9" i="9"/>
  <c r="G9" i="9"/>
  <c r="F9" i="9"/>
  <c r="E9" i="9"/>
  <c r="D9" i="9"/>
  <c r="H8" i="9"/>
  <c r="G8" i="9"/>
  <c r="F8" i="9"/>
  <c r="E8" i="9"/>
  <c r="D8" i="9"/>
  <c r="H7" i="9"/>
  <c r="G7" i="9"/>
  <c r="F7" i="9"/>
  <c r="E7" i="9"/>
  <c r="D7" i="9"/>
  <c r="H5" i="9"/>
  <c r="G5" i="9"/>
  <c r="F5" i="9"/>
  <c r="E5" i="9"/>
  <c r="D5" i="9"/>
  <c r="H3" i="9"/>
  <c r="G3" i="9"/>
  <c r="F3" i="9"/>
  <c r="E3" i="9"/>
  <c r="D3" i="9"/>
  <c r="G17" i="8"/>
  <c r="D18" i="8"/>
  <c r="H18" i="8"/>
  <c r="G18" i="8"/>
  <c r="F18" i="8"/>
  <c r="E18" i="8"/>
  <c r="H17" i="8"/>
  <c r="F17" i="8"/>
  <c r="E17" i="8"/>
  <c r="D17" i="8"/>
  <c r="G16" i="8"/>
  <c r="F16" i="8"/>
  <c r="E16" i="8"/>
  <c r="D16" i="8"/>
  <c r="H15" i="8"/>
  <c r="G15" i="8"/>
  <c r="F15" i="8"/>
  <c r="E15" i="8"/>
  <c r="D15" i="8"/>
  <c r="H11" i="8"/>
  <c r="G11" i="8"/>
  <c r="F11" i="8"/>
  <c r="E11" i="8"/>
  <c r="D11" i="8"/>
  <c r="G10" i="8"/>
  <c r="F10" i="8"/>
  <c r="E10" i="8"/>
  <c r="D10" i="8"/>
  <c r="H9" i="8"/>
  <c r="D8" i="8"/>
  <c r="D9" i="8"/>
  <c r="G8" i="8"/>
  <c r="F8" i="8"/>
  <c r="E8" i="8"/>
  <c r="H7" i="8"/>
  <c r="G7" i="8"/>
  <c r="F7" i="8"/>
  <c r="E7" i="8"/>
  <c r="D7" i="8"/>
  <c r="H5" i="8"/>
  <c r="G5" i="8"/>
  <c r="F5" i="8"/>
  <c r="E5" i="8"/>
  <c r="D5" i="8"/>
  <c r="H17" i="6"/>
  <c r="G17" i="6"/>
  <c r="F17" i="6"/>
  <c r="E17" i="6"/>
  <c r="D17" i="6"/>
  <c r="G16" i="6"/>
  <c r="F16" i="6"/>
  <c r="D16" i="6"/>
  <c r="G15" i="6" l="1"/>
  <c r="F15" i="6"/>
  <c r="E15" i="6"/>
  <c r="D15" i="6"/>
  <c r="G14" i="6"/>
  <c r="F14" i="6"/>
  <c r="E14" i="6"/>
  <c r="D14" i="6"/>
  <c r="H13" i="6"/>
  <c r="G13" i="6"/>
  <c r="F13" i="6"/>
  <c r="E13" i="6"/>
  <c r="D13" i="6"/>
  <c r="H10" i="6"/>
  <c r="G10" i="6"/>
  <c r="F10" i="6"/>
  <c r="E10" i="6"/>
  <c r="D10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3" i="6"/>
  <c r="G3" i="6"/>
  <c r="H5" i="6"/>
  <c r="G5" i="6"/>
  <c r="F5" i="6"/>
  <c r="E5" i="6"/>
  <c r="D5" i="6"/>
  <c r="F3" i="6"/>
  <c r="E3" i="6"/>
  <c r="D3" i="6"/>
  <c r="D7" i="5"/>
  <c r="H18" i="5"/>
  <c r="G18" i="5"/>
  <c r="F18" i="5"/>
  <c r="E18" i="5"/>
  <c r="D18" i="5"/>
  <c r="D19" i="2"/>
  <c r="H17" i="5"/>
  <c r="G17" i="5"/>
  <c r="F17" i="5"/>
  <c r="E17" i="5"/>
  <c r="D17" i="5"/>
  <c r="H16" i="5"/>
  <c r="G16" i="5"/>
  <c r="F16" i="5"/>
  <c r="E16" i="5"/>
  <c r="H15" i="5"/>
  <c r="G15" i="5"/>
  <c r="F15" i="5"/>
  <c r="E15" i="5"/>
  <c r="H13" i="1"/>
  <c r="G13" i="1"/>
  <c r="F13" i="1"/>
  <c r="E13" i="1"/>
  <c r="D13" i="1"/>
  <c r="H14" i="5"/>
  <c r="G14" i="5"/>
  <c r="F14" i="5"/>
  <c r="E14" i="5"/>
  <c r="D14" i="5"/>
  <c r="H11" i="5"/>
  <c r="G11" i="5"/>
  <c r="F11" i="5"/>
  <c r="E11" i="5"/>
  <c r="D11" i="5"/>
  <c r="G10" i="5"/>
  <c r="F10" i="5"/>
  <c r="E10" i="5"/>
  <c r="D10" i="5"/>
  <c r="H9" i="5"/>
  <c r="G9" i="5"/>
  <c r="F9" i="5"/>
  <c r="E9" i="5"/>
  <c r="D9" i="5"/>
  <c r="H8" i="5"/>
  <c r="G8" i="5"/>
  <c r="F8" i="5"/>
  <c r="E8" i="5"/>
  <c r="D8" i="5"/>
  <c r="D9" i="4"/>
  <c r="H7" i="5"/>
  <c r="G7" i="5"/>
  <c r="F7" i="5"/>
  <c r="E7" i="5"/>
  <c r="H5" i="5"/>
  <c r="G5" i="5"/>
  <c r="F5" i="5"/>
  <c r="E5" i="5"/>
  <c r="D5" i="5"/>
  <c r="H4" i="5"/>
  <c r="G4" i="5"/>
  <c r="F4" i="5"/>
  <c r="E4" i="5"/>
  <c r="D4" i="5"/>
  <c r="H3" i="5"/>
  <c r="G3" i="5"/>
  <c r="F3" i="5"/>
  <c r="E3" i="5"/>
  <c r="D3" i="5"/>
  <c r="G19" i="4"/>
  <c r="F19" i="4"/>
  <c r="E19" i="4"/>
  <c r="D19" i="4"/>
  <c r="H18" i="4"/>
  <c r="G18" i="4"/>
  <c r="F18" i="4"/>
  <c r="E18" i="4"/>
  <c r="D18" i="4"/>
  <c r="G17" i="4"/>
  <c r="F17" i="4"/>
  <c r="E17" i="4"/>
  <c r="D17" i="4"/>
  <c r="H16" i="4"/>
  <c r="G16" i="4"/>
  <c r="F16" i="4"/>
  <c r="E16" i="4"/>
  <c r="D16" i="4"/>
  <c r="H12" i="4"/>
  <c r="G12" i="4"/>
  <c r="F12" i="4"/>
  <c r="E12" i="4"/>
  <c r="D12" i="4"/>
  <c r="G11" i="4"/>
  <c r="F11" i="4"/>
  <c r="E11" i="4"/>
  <c r="D11" i="4"/>
  <c r="H10" i="4"/>
  <c r="G10" i="4"/>
  <c r="F10" i="4"/>
  <c r="E10" i="4"/>
  <c r="D10" i="4"/>
  <c r="D7" i="4"/>
  <c r="H9" i="4"/>
  <c r="G9" i="4"/>
  <c r="F9" i="4"/>
  <c r="E9" i="4"/>
  <c r="H7" i="4"/>
  <c r="G7" i="4"/>
  <c r="F7" i="4"/>
  <c r="E7" i="4"/>
  <c r="H5" i="4"/>
  <c r="G5" i="4"/>
  <c r="F5" i="4"/>
  <c r="E5" i="4"/>
  <c r="D5" i="4"/>
  <c r="G3" i="4"/>
  <c r="F3" i="4"/>
  <c r="E3" i="4"/>
  <c r="D3" i="4"/>
  <c r="H19" i="3"/>
  <c r="G19" i="3"/>
  <c r="F19" i="3"/>
  <c r="E19" i="3"/>
  <c r="D19" i="3"/>
  <c r="G17" i="3"/>
  <c r="F17" i="3"/>
  <c r="E17" i="3"/>
  <c r="D17" i="3"/>
  <c r="H15" i="3"/>
  <c r="G15" i="3"/>
  <c r="F15" i="3"/>
  <c r="E15" i="3"/>
  <c r="D15" i="3"/>
  <c r="H12" i="3"/>
  <c r="G12" i="3"/>
  <c r="F12" i="3"/>
  <c r="E12" i="3"/>
  <c r="D12" i="3"/>
  <c r="H11" i="3"/>
  <c r="G11" i="3"/>
  <c r="F11" i="3"/>
  <c r="E11" i="3"/>
  <c r="D11" i="3"/>
  <c r="H10" i="3"/>
  <c r="G10" i="3"/>
  <c r="F10" i="3"/>
  <c r="E10" i="3"/>
  <c r="D10" i="3"/>
  <c r="H9" i="3"/>
  <c r="G9" i="3"/>
  <c r="F9" i="3"/>
  <c r="E9" i="3"/>
  <c r="D9" i="3"/>
  <c r="H7" i="3"/>
  <c r="G7" i="3"/>
  <c r="F7" i="3"/>
  <c r="E7" i="3"/>
  <c r="D7" i="3"/>
  <c r="H5" i="3"/>
  <c r="G5" i="3"/>
  <c r="F5" i="3"/>
  <c r="E5" i="3"/>
  <c r="D5" i="3"/>
  <c r="D3" i="2"/>
  <c r="H19" i="2"/>
  <c r="G19" i="2"/>
  <c r="F19" i="2"/>
  <c r="E19" i="2"/>
  <c r="H18" i="2"/>
  <c r="H16" i="2"/>
  <c r="G18" i="2"/>
  <c r="F18" i="2"/>
  <c r="E18" i="2"/>
  <c r="D18" i="2"/>
  <c r="G17" i="2"/>
  <c r="F17" i="2"/>
  <c r="E17" i="2"/>
  <c r="D17" i="2"/>
  <c r="G16" i="2"/>
  <c r="F16" i="2"/>
  <c r="E16" i="2"/>
  <c r="D16" i="2"/>
  <c r="H12" i="2"/>
  <c r="G12" i="2"/>
  <c r="F12" i="2"/>
  <c r="E12" i="2"/>
  <c r="D12" i="2"/>
  <c r="H11" i="2"/>
  <c r="G11" i="2"/>
  <c r="F11" i="2"/>
  <c r="E11" i="2"/>
  <c r="D11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5" i="2"/>
  <c r="G5" i="2"/>
  <c r="F5" i="2"/>
  <c r="E5" i="2"/>
  <c r="D5" i="2"/>
  <c r="D4" i="2"/>
  <c r="H4" i="2"/>
  <c r="G4" i="2"/>
  <c r="F4" i="2"/>
  <c r="E4" i="2"/>
  <c r="H3" i="2"/>
  <c r="G3" i="2"/>
  <c r="F3" i="2"/>
  <c r="E3" i="2"/>
  <c r="D3" i="1"/>
  <c r="G15" i="1"/>
  <c r="F15" i="1"/>
  <c r="E15" i="1"/>
  <c r="D15" i="1"/>
  <c r="H10" i="1"/>
  <c r="H9" i="1"/>
  <c r="G9" i="1"/>
  <c r="F9" i="1"/>
  <c r="F8" i="1"/>
  <c r="E8" i="1"/>
  <c r="D8" i="1"/>
  <c r="H7" i="1"/>
  <c r="G7" i="1"/>
  <c r="F7" i="1"/>
  <c r="E7" i="1"/>
  <c r="D7" i="1"/>
  <c r="H5" i="1"/>
  <c r="G5" i="1"/>
  <c r="F5" i="1"/>
  <c r="E5" i="1"/>
  <c r="D10" i="1"/>
  <c r="G10" i="1"/>
  <c r="F10" i="1"/>
  <c r="E10" i="1"/>
  <c r="H15" i="1"/>
  <c r="G14" i="1"/>
  <c r="F14" i="1"/>
  <c r="E14" i="1"/>
  <c r="D14" i="1"/>
  <c r="E9" i="1"/>
  <c r="D9" i="1"/>
  <c r="H8" i="1"/>
  <c r="G8" i="1"/>
  <c r="G23" i="2" l="1"/>
  <c r="G22" i="19" l="1"/>
  <c r="G20" i="15"/>
  <c r="G21" i="6"/>
  <c r="G22" i="5"/>
  <c r="G23" i="3"/>
  <c r="G21" i="1"/>
  <c r="G22" i="16"/>
  <c r="D21" i="1" l="1"/>
  <c r="E21" i="1"/>
  <c r="F21" i="1"/>
  <c r="C21" i="1"/>
  <c r="C23" i="13" l="1"/>
  <c r="C22" i="8" l="1"/>
  <c r="C24" i="4"/>
  <c r="H23" i="3"/>
  <c r="C23" i="3"/>
  <c r="D23" i="3"/>
  <c r="E23" i="3"/>
  <c r="F23" i="3"/>
  <c r="C21" i="21" l="1"/>
  <c r="D21" i="21"/>
  <c r="E21" i="21"/>
  <c r="F21" i="21"/>
  <c r="G21" i="21"/>
  <c r="H21" i="21"/>
  <c r="C21" i="20"/>
  <c r="D21" i="20"/>
  <c r="E21" i="20"/>
  <c r="F21" i="20"/>
  <c r="G21" i="20"/>
  <c r="H21" i="20"/>
  <c r="D20" i="15" l="1"/>
  <c r="E20" i="15"/>
  <c r="F20" i="15"/>
  <c r="H20" i="15"/>
  <c r="C20" i="15"/>
  <c r="H22" i="19"/>
  <c r="F22" i="19"/>
  <c r="E22" i="19"/>
  <c r="D22" i="19"/>
  <c r="C22" i="19"/>
  <c r="H19" i="18" l="1"/>
  <c r="G19" i="18"/>
  <c r="F19" i="18"/>
  <c r="E19" i="18"/>
  <c r="D19" i="18"/>
  <c r="C19" i="18"/>
  <c r="H23" i="17"/>
  <c r="G23" i="17"/>
  <c r="F23" i="17"/>
  <c r="E23" i="17"/>
  <c r="D23" i="17"/>
  <c r="C23" i="17"/>
  <c r="C22" i="16" l="1"/>
  <c r="C23" i="14"/>
  <c r="F23" i="14"/>
  <c r="G23" i="14"/>
  <c r="C22" i="12"/>
  <c r="C23" i="10"/>
  <c r="C21" i="6"/>
  <c r="C23" i="2"/>
  <c r="C22" i="9"/>
  <c r="C22" i="5"/>
  <c r="H23" i="13"/>
  <c r="D23" i="14" l="1"/>
  <c r="E23" i="14"/>
  <c r="H23" i="14"/>
  <c r="D23" i="13" l="1"/>
  <c r="E23" i="13"/>
  <c r="F23" i="13"/>
  <c r="G23" i="13"/>
  <c r="D22" i="12"/>
  <c r="E22" i="12"/>
  <c r="F22" i="12"/>
  <c r="G22" i="12"/>
  <c r="H22" i="12"/>
  <c r="C21" i="11" l="1"/>
  <c r="D21" i="11"/>
  <c r="E21" i="11"/>
  <c r="F21" i="11"/>
  <c r="G21" i="11"/>
  <c r="H21" i="11"/>
  <c r="D23" i="10"/>
  <c r="E23" i="10"/>
  <c r="F23" i="10"/>
  <c r="G23" i="10"/>
  <c r="H23" i="10"/>
  <c r="H22" i="9" l="1"/>
  <c r="G22" i="9"/>
  <c r="F22" i="9"/>
  <c r="E22" i="9"/>
  <c r="D22" i="9"/>
  <c r="H22" i="8"/>
  <c r="G22" i="8"/>
  <c r="F22" i="8"/>
  <c r="E22" i="8"/>
  <c r="D22" i="8"/>
  <c r="H21" i="6"/>
  <c r="F21" i="6"/>
  <c r="E21" i="6"/>
  <c r="D21" i="6"/>
  <c r="H22" i="5"/>
  <c r="F22" i="5"/>
  <c r="E22" i="5"/>
  <c r="D22" i="5"/>
  <c r="H24" i="4"/>
  <c r="G24" i="4"/>
  <c r="F24" i="4"/>
  <c r="E24" i="4"/>
  <c r="D24" i="4"/>
  <c r="H23" i="2" l="1"/>
  <c r="F23" i="2"/>
  <c r="E23" i="2"/>
  <c r="D23" i="2"/>
  <c r="H21" i="1"/>
</calcChain>
</file>

<file path=xl/sharedStrings.xml><?xml version="1.0" encoding="utf-8"?>
<sst xmlns="http://schemas.openxmlformats.org/spreadsheetml/2006/main" count="758" uniqueCount="203">
  <si>
    <t xml:space="preserve">Прием пищи </t>
  </si>
  <si>
    <t>1-ый день</t>
  </si>
  <si>
    <t xml:space="preserve">Прием пищи, 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</si>
  <si>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</si>
  <si>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</si>
  <si>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</si>
  <si>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</si>
  <si>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</si>
  <si>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</si>
  <si>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</si>
  <si>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</si>
  <si>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</si>
  <si>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Завтрак:</t>
  </si>
  <si>
    <t>Второй завтрак</t>
  </si>
  <si>
    <t>Обед:</t>
  </si>
  <si>
    <t>Хлеб пшеничный</t>
  </si>
  <si>
    <t>Хлеб ржано-пшеничный</t>
  </si>
  <si>
    <t>Полдник:</t>
  </si>
  <si>
    <t>Ужин</t>
  </si>
  <si>
    <t>Прием пищи</t>
  </si>
  <si>
    <t>2-ой день</t>
  </si>
  <si>
    <t>Каша манная молочная</t>
  </si>
  <si>
    <t>Пюре картофельное</t>
  </si>
  <si>
    <t>Полдник</t>
  </si>
  <si>
    <t>Завтрак</t>
  </si>
  <si>
    <t>Чай с молоком</t>
  </si>
  <si>
    <t>3-ий день</t>
  </si>
  <si>
    <t>Каша гречневая рассыпчатая</t>
  </si>
  <si>
    <t>ИТОГО по 4-му дню</t>
  </si>
  <si>
    <t>Омлет натуральный</t>
  </si>
  <si>
    <t>4-й день</t>
  </si>
  <si>
    <t>ИТОГО по 1-му дню</t>
  </si>
  <si>
    <t>6-ой день</t>
  </si>
  <si>
    <t>ИТОГО по 6-му дню</t>
  </si>
  <si>
    <t>Круассаны</t>
  </si>
  <si>
    <t>Кисломолочный продукт  (кефир)</t>
  </si>
  <si>
    <t>7-ой день</t>
  </si>
  <si>
    <t>8-ой день</t>
  </si>
  <si>
    <t>ИТОГО по 8-му дню</t>
  </si>
  <si>
    <t>Кисломолочный продукт (снежок)</t>
  </si>
  <si>
    <t>9-ый день</t>
  </si>
  <si>
    <t>Икра морковная</t>
  </si>
  <si>
    <t>Напиток из шиповника</t>
  </si>
  <si>
    <t>10-ый день</t>
  </si>
  <si>
    <t>11-ый день</t>
  </si>
  <si>
    <t>12-ый день</t>
  </si>
  <si>
    <t>13-ий день</t>
  </si>
  <si>
    <t>ИТОГО по 13-му дню</t>
  </si>
  <si>
    <t>14-ый день</t>
  </si>
  <si>
    <t>ИТОГО по 14-му дню</t>
  </si>
  <si>
    <t>15-ый день</t>
  </si>
  <si>
    <t>ИТОГО по 15-му дню</t>
  </si>
  <si>
    <t>ИТОГО по 20-му дню</t>
  </si>
  <si>
    <t>ИТОГО по 16-му дню</t>
  </si>
  <si>
    <t>140/1</t>
  </si>
  <si>
    <t>Энергетическая ценность                (ккал)</t>
  </si>
  <si>
    <t>ИТОГО по 17-му дню</t>
  </si>
  <si>
    <t>20-ой день</t>
  </si>
  <si>
    <t>19-ой день</t>
  </si>
  <si>
    <t>18-ый день</t>
  </si>
  <si>
    <t>17-ый день</t>
  </si>
  <si>
    <t xml:space="preserve"> 5-ый день</t>
  </si>
  <si>
    <t>ИТОГО по 5-му дню</t>
  </si>
  <si>
    <t>ИТОГО по                7-му дню</t>
  </si>
  <si>
    <t>ИТОГО по     9-му дню</t>
  </si>
  <si>
    <t>ИТОГО по        10-му дню</t>
  </si>
  <si>
    <t>Бутерброд с маслом</t>
  </si>
  <si>
    <t>Какао на молоке</t>
  </si>
  <si>
    <t xml:space="preserve">Бутерброд с маслом </t>
  </si>
  <si>
    <t>Чай полусладкий</t>
  </si>
  <si>
    <t>Напиток кофейный с молоком</t>
  </si>
  <si>
    <t>Печенье сдобное</t>
  </si>
  <si>
    <t xml:space="preserve">   </t>
  </si>
  <si>
    <t>Компот из замор ягод</t>
  </si>
  <si>
    <t>Суп-пюре гороховый</t>
  </si>
  <si>
    <t>Гренки из пшеничного хлеба</t>
  </si>
  <si>
    <t>Чай полусладкий с лимоном</t>
  </si>
  <si>
    <t>Бутерброд с сыром</t>
  </si>
  <si>
    <t>Соус томатный с овощами</t>
  </si>
  <si>
    <t>Свекольник</t>
  </si>
  <si>
    <t>Каша рисовая рассыпчатая</t>
  </si>
  <si>
    <t>Суп картофельный с фрикадел (рыбн)</t>
  </si>
  <si>
    <t xml:space="preserve">Суп молочный с крупой </t>
  </si>
  <si>
    <t>Салат из свеклы отварной</t>
  </si>
  <si>
    <t>Гренки из пшеничн хлеба</t>
  </si>
  <si>
    <t>Салат  солен огурец с луком</t>
  </si>
  <si>
    <t>Борщ с капустой и картофелем</t>
  </si>
  <si>
    <t>Сердце в соусе</t>
  </si>
  <si>
    <t>Суп фасолевый</t>
  </si>
  <si>
    <t>Пирожок печен с капустой</t>
  </si>
  <si>
    <t>Картофель отварной с маслом</t>
  </si>
  <si>
    <t>Рассольник Ленинградский</t>
  </si>
  <si>
    <t>Суфле рыбное</t>
  </si>
  <si>
    <t>Соус молочный</t>
  </si>
  <si>
    <t>Суп молочн с крупой</t>
  </si>
  <si>
    <t>Салат из моркови с зел горошком</t>
  </si>
  <si>
    <t>Бульон курин с яйцом</t>
  </si>
  <si>
    <t>Биточки куриные</t>
  </si>
  <si>
    <t>Овощи консерв (помидор)</t>
  </si>
  <si>
    <t>Суп картофельн с фрикад (мясн)</t>
  </si>
  <si>
    <t>Плов из говядины</t>
  </si>
  <si>
    <t>Запеканка творожная</t>
  </si>
  <si>
    <t>Икра кабачковая</t>
  </si>
  <si>
    <t>Печень по-строгоновски</t>
  </si>
  <si>
    <t>Макарон издел отварные</t>
  </si>
  <si>
    <t>Рыба припущен (порц)</t>
  </si>
  <si>
    <t>Каша кукурузная молочная</t>
  </si>
  <si>
    <t>Салат Нежный</t>
  </si>
  <si>
    <t>Суп картофельн с макарон издел</t>
  </si>
  <si>
    <t>Ленивый голубец</t>
  </si>
  <si>
    <t>Компот из смеси сухофруктов</t>
  </si>
  <si>
    <t>Пирожок печен (картофель)</t>
  </si>
  <si>
    <t>Суп молочный с крупой (солнечный)</t>
  </si>
  <si>
    <t>Салат свекольный с чесноком</t>
  </si>
  <si>
    <t xml:space="preserve">Щи с картофелеми и капустой </t>
  </si>
  <si>
    <t>Рыба в молочном соусе</t>
  </si>
  <si>
    <t>Солянка сборная мясная</t>
  </si>
  <si>
    <t>Кура порционная</t>
  </si>
  <si>
    <t>Молоко кипяченое</t>
  </si>
  <si>
    <t>Суп картофел с фрикадельками</t>
  </si>
  <si>
    <t>Каша Дружба</t>
  </si>
  <si>
    <t>Овощи консерв (огурец)</t>
  </si>
  <si>
    <t>Суп картофел с бобовыми</t>
  </si>
  <si>
    <t>Домашнее жаркое</t>
  </si>
  <si>
    <t>Кисель из ягод свежих</t>
  </si>
  <si>
    <t>Пудинг творожный запеченный с изюмом</t>
  </si>
  <si>
    <t>285/1</t>
  </si>
  <si>
    <t>Молоко сгущенное</t>
  </si>
  <si>
    <t>457/1</t>
  </si>
  <si>
    <t>Крем творожный</t>
  </si>
  <si>
    <t>410/1</t>
  </si>
  <si>
    <t>Каша перловая рассыпчатая с овощами</t>
  </si>
  <si>
    <t>25/2</t>
  </si>
  <si>
    <t>Соус сметанный</t>
  </si>
  <si>
    <t>408/1</t>
  </si>
  <si>
    <t>Компот из плодов консервиров</t>
  </si>
  <si>
    <t>Каша пшенная молочн жидкая</t>
  </si>
  <si>
    <t>Каша из овсян хлопьев Геркулес</t>
  </si>
  <si>
    <t>Каша пшеничная вязкая</t>
  </si>
  <si>
    <t>Булочка ванильная</t>
  </si>
  <si>
    <t>Рагу овощное</t>
  </si>
  <si>
    <t>Соки, фруктовые и ягодные</t>
  </si>
  <si>
    <t>Печенье сахарное</t>
  </si>
  <si>
    <t>Кукуруза консервирован (порц)</t>
  </si>
  <si>
    <t>149/1</t>
  </si>
  <si>
    <t>31/2</t>
  </si>
  <si>
    <t>Рыба, запеч с картоф по-русски</t>
  </si>
  <si>
    <t>Каша ячненвая вязкая</t>
  </si>
  <si>
    <t>Суп картофельный</t>
  </si>
  <si>
    <t>Тефтели из говяд с рисом "Ёжики"</t>
  </si>
  <si>
    <t>Капуста тушеная</t>
  </si>
  <si>
    <t>227</t>
  </si>
  <si>
    <t>Салат из свеклы с сыром</t>
  </si>
  <si>
    <t>Суп картофел с клецками</t>
  </si>
  <si>
    <t>Суфле куриное</t>
  </si>
  <si>
    <t>Каша перловая рассыпчатая</t>
  </si>
  <si>
    <t>Манник</t>
  </si>
  <si>
    <t>Котлеты или биточки рыбные</t>
  </si>
  <si>
    <t>Фрукты свежие</t>
  </si>
  <si>
    <t>26/2</t>
  </si>
  <si>
    <t>Жаркое из сердца</t>
  </si>
  <si>
    <t>Ватрушка с джемом</t>
  </si>
  <si>
    <t>Макарон издел отварн с сыром</t>
  </si>
  <si>
    <t>Суп-Харчо</t>
  </si>
  <si>
    <t>Ватрушка сджемом</t>
  </si>
  <si>
    <t>Оладьи из печени</t>
  </si>
  <si>
    <t>Суп картофельный с крупой (полевой)</t>
  </si>
  <si>
    <t>Суп молочный с макарон издел</t>
  </si>
  <si>
    <t>Суп овощной</t>
  </si>
  <si>
    <t>Люля-кебаб</t>
  </si>
  <si>
    <t>Компот из плодов и ягод сушен (изюм)</t>
  </si>
  <si>
    <t>Суп с рыбными консервами</t>
  </si>
  <si>
    <t>Салат из соленых огурцов с луком</t>
  </si>
  <si>
    <t>Суп-лапша домашняя</t>
  </si>
  <si>
    <t>Рагу из овощей и мяса</t>
  </si>
  <si>
    <t>Булочка Веснушка</t>
  </si>
  <si>
    <t>Каша гречневая рассыпчат с овощами</t>
  </si>
  <si>
    <t>16-ый день</t>
  </si>
  <si>
    <t>Салат из зелен горошка с луком</t>
  </si>
  <si>
    <t>Борщ Московский с фасолью</t>
  </si>
  <si>
    <t>Суп картофельный с яйцом</t>
  </si>
  <si>
    <t>Суфле из отварн говядины</t>
  </si>
  <si>
    <t>390/1</t>
  </si>
  <si>
    <t>115/1</t>
  </si>
  <si>
    <t>Азу</t>
  </si>
  <si>
    <t>123/1</t>
  </si>
  <si>
    <t>Салат из капусты белокочанной</t>
  </si>
  <si>
    <t>1</t>
  </si>
  <si>
    <t>Бутерброд с джемом</t>
  </si>
  <si>
    <t>Соус кисельный ягодный</t>
  </si>
  <si>
    <t>Пряник</t>
  </si>
  <si>
    <t>Итого по 18-му дню</t>
  </si>
  <si>
    <t>Итого по 19-му дню</t>
  </si>
  <si>
    <t>ИТОГО по 12-му дню</t>
  </si>
  <si>
    <t>ИТОГО по 11-му дню</t>
  </si>
  <si>
    <t>ИТОГО по 3-му дню</t>
  </si>
  <si>
    <t>ИТОГО по 2 му дню</t>
  </si>
  <si>
    <t>Суп картофельный с крупой (гречка)</t>
  </si>
  <si>
    <t xml:space="preserve">    </t>
  </si>
  <si>
    <t>Кисломолочный продукт  (йогурт)</t>
  </si>
  <si>
    <t xml:space="preserve"> </t>
  </si>
  <si>
    <t>Булочка Дорожная</t>
  </si>
  <si>
    <t>Сырники творожные запеченые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</si>
</sst>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6" sqref="B16:I16"/>
    </sheetView>
  </sheetViews>
  <sheetFormatPr defaultRowHeight="15" x14ac:dyDescent="0.25"/>
  <cols>
    <col min="1" max="1" width="12.42578125" customWidth="1"/>
    <col min="2" max="2" width="37.28515625" customWidth="1"/>
    <col min="3" max="6" width="10.85546875" customWidth="1"/>
    <col min="7" max="7" width="11.42578125" customWidth="1"/>
    <col min="8" max="8" width="11.7109375" customWidth="1"/>
    <col min="9" max="9" width="10.85546875" customWidth="1"/>
  </cols>
  <sheetData>
    <row r="1" spans="1:9" ht="33.75" thickBot="1" x14ac:dyDescent="0.3">
      <c r="A1" s="40" t="s">
        <v>0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9" customHeight="1" thickBot="1" x14ac:dyDescent="0.3">
      <c r="A2" s="17" t="s">
        <v>1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9.5" customHeight="1" thickBot="1" x14ac:dyDescent="0.3">
      <c r="A3" s="76" t="s">
        <v>12</v>
      </c>
      <c r="B3" s="19" t="s">
        <v>120</v>
      </c>
      <c r="C3" s="20">
        <v>150</v>
      </c>
      <c r="D3" s="20">
        <f>4.68/180*C3</f>
        <v>3.9</v>
      </c>
      <c r="E3" s="20">
        <f>5.94/180*C3</f>
        <v>4.95</v>
      </c>
      <c r="F3" s="20">
        <v>24.8</v>
      </c>
      <c r="G3" s="20">
        <v>171.5</v>
      </c>
      <c r="H3" s="20">
        <v>1.19</v>
      </c>
      <c r="I3" s="20">
        <v>229</v>
      </c>
    </row>
    <row r="4" spans="1:9" ht="19.5" customHeight="1" thickBot="1" x14ac:dyDescent="0.3">
      <c r="A4" s="87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9.5" customHeight="1" thickBot="1" x14ac:dyDescent="0.3">
      <c r="A5" s="77"/>
      <c r="B5" s="23" t="s">
        <v>70</v>
      </c>
      <c r="C5" s="20">
        <v>150</v>
      </c>
      <c r="D5" s="20">
        <v>2.1</v>
      </c>
      <c r="E5" s="20">
        <f>2.5/200*150</f>
        <v>1.875</v>
      </c>
      <c r="F5" s="20">
        <f>13.6/200*150</f>
        <v>10.200000000000001</v>
      </c>
      <c r="G5" s="20">
        <f>88/200*150</f>
        <v>66</v>
      </c>
      <c r="H5" s="20">
        <f>0.7/200*150</f>
        <v>0.52499999999999991</v>
      </c>
      <c r="I5" s="20">
        <v>465</v>
      </c>
    </row>
    <row r="6" spans="1:9" ht="34.5" customHeight="1" thickBot="1" x14ac:dyDescent="0.3">
      <c r="A6" s="1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87"/>
      <c r="B7" s="25" t="s">
        <v>121</v>
      </c>
      <c r="C7" s="26">
        <v>30</v>
      </c>
      <c r="D7" s="26">
        <f>0.48/60*30</f>
        <v>0.24</v>
      </c>
      <c r="E7" s="26">
        <f>0.06/60*30</f>
        <v>0.03</v>
      </c>
      <c r="F7" s="26">
        <f>1.02/60*30</f>
        <v>0.51</v>
      </c>
      <c r="G7" s="26">
        <f>6.6/60*30</f>
        <v>3.3</v>
      </c>
      <c r="H7" s="26">
        <f>1.5/60*30</f>
        <v>0.75</v>
      </c>
      <c r="I7" s="26">
        <v>149</v>
      </c>
    </row>
    <row r="8" spans="1:9" ht="19.5" customHeight="1" thickBot="1" x14ac:dyDescent="0.3">
      <c r="A8" s="87"/>
      <c r="B8" s="25" t="s">
        <v>122</v>
      </c>
      <c r="C8" s="26">
        <v>150</v>
      </c>
      <c r="D8" s="26">
        <f>5.04/200*150</f>
        <v>3.7800000000000002</v>
      </c>
      <c r="E8" s="26">
        <f>2.86/200*150</f>
        <v>2.145</v>
      </c>
      <c r="F8" s="26">
        <f>11.68/200*150</f>
        <v>8.76</v>
      </c>
      <c r="G8" s="26">
        <f>92.6/200*180</f>
        <v>83.339999999999989</v>
      </c>
      <c r="H8" s="26">
        <f>3.8/200*180</f>
        <v>3.42</v>
      </c>
      <c r="I8" s="26">
        <v>113</v>
      </c>
    </row>
    <row r="9" spans="1:9" ht="19.5" customHeight="1" thickBot="1" x14ac:dyDescent="0.3">
      <c r="A9" s="87"/>
      <c r="B9" s="19" t="s">
        <v>123</v>
      </c>
      <c r="C9" s="20">
        <v>150</v>
      </c>
      <c r="D9" s="20">
        <f>18.8/200*180</f>
        <v>16.920000000000002</v>
      </c>
      <c r="E9" s="20">
        <f>14.3/200*180</f>
        <v>12.870000000000001</v>
      </c>
      <c r="F9" s="20">
        <f>25.8/200*150</f>
        <v>19.350000000000001</v>
      </c>
      <c r="G9" s="20">
        <f>307/200*150</f>
        <v>230.25</v>
      </c>
      <c r="H9" s="20">
        <f>15/200*150</f>
        <v>11.25</v>
      </c>
      <c r="I9" s="20">
        <v>328</v>
      </c>
    </row>
    <row r="10" spans="1:9" ht="19.5" customHeight="1" thickBot="1" x14ac:dyDescent="0.3">
      <c r="A10" s="87"/>
      <c r="B10" s="25" t="s">
        <v>124</v>
      </c>
      <c r="C10" s="20">
        <v>150</v>
      </c>
      <c r="D10" s="20">
        <f>1.8/200*150</f>
        <v>1.35</v>
      </c>
      <c r="E10" s="20">
        <f>1.8/200*150</f>
        <v>1.35</v>
      </c>
      <c r="F10" s="20">
        <f>11/200*150</f>
        <v>8.25</v>
      </c>
      <c r="G10" s="20">
        <f>90/200*150</f>
        <v>67.5</v>
      </c>
      <c r="H10" s="20">
        <f>1/200*150</f>
        <v>0.75</v>
      </c>
      <c r="I10" s="20">
        <v>479</v>
      </c>
    </row>
    <row r="11" spans="1:9" ht="19.5" customHeight="1" thickBot="1" x14ac:dyDescent="0.3">
      <c r="A11" s="87"/>
      <c r="B11" s="9" t="s">
        <v>15</v>
      </c>
      <c r="C11" s="20">
        <v>20</v>
      </c>
      <c r="D11" s="20">
        <f>2.28/30*C11</f>
        <v>1.52</v>
      </c>
      <c r="E11" s="20">
        <f>0.24/30*C11</f>
        <v>0.16</v>
      </c>
      <c r="F11" s="20">
        <f>14.76/30*C11</f>
        <v>9.84</v>
      </c>
      <c r="G11" s="20">
        <f>70.2/30*C11</f>
        <v>46.800000000000004</v>
      </c>
      <c r="H11" s="20">
        <v>0</v>
      </c>
      <c r="I11" s="20">
        <v>573</v>
      </c>
    </row>
    <row r="12" spans="1:9" ht="19.5" customHeight="1" thickBot="1" x14ac:dyDescent="0.3">
      <c r="A12" s="77"/>
      <c r="B12" s="9" t="s">
        <v>16</v>
      </c>
      <c r="C12" s="20">
        <v>20</v>
      </c>
      <c r="D12" s="20">
        <f>2.4/30*C12</f>
        <v>1.6</v>
      </c>
      <c r="E12" s="20">
        <f>0.45/30*C12</f>
        <v>0.30000000000000004</v>
      </c>
      <c r="F12" s="20">
        <f>12.03/30*C12</f>
        <v>8.02</v>
      </c>
      <c r="G12" s="20">
        <f>61.8/30*C12</f>
        <v>41.2</v>
      </c>
      <c r="H12" s="20">
        <v>0</v>
      </c>
      <c r="I12" s="20">
        <v>574</v>
      </c>
    </row>
    <row r="13" spans="1:9" ht="19.5" customHeight="1" thickBot="1" x14ac:dyDescent="0.3">
      <c r="A13" s="76" t="s">
        <v>17</v>
      </c>
      <c r="B13" s="19" t="s">
        <v>39</v>
      </c>
      <c r="C13" s="20">
        <v>150</v>
      </c>
      <c r="D13" s="20">
        <f>5.8/200*C13</f>
        <v>4.3499999999999996</v>
      </c>
      <c r="E13" s="20">
        <f>5/200*C13</f>
        <v>3.75</v>
      </c>
      <c r="F13" s="20">
        <f>8/200*C13</f>
        <v>6</v>
      </c>
      <c r="G13" s="20">
        <f>156/200*C13</f>
        <v>117</v>
      </c>
      <c r="H13" s="20">
        <f>1.4/200*C13</f>
        <v>1.0499999999999998</v>
      </c>
      <c r="I13" s="20">
        <v>470</v>
      </c>
    </row>
    <row r="14" spans="1:9" ht="19.5" customHeight="1" thickBot="1" x14ac:dyDescent="0.3">
      <c r="A14" s="77"/>
      <c r="B14" s="35" t="s">
        <v>71</v>
      </c>
      <c r="C14" s="37">
        <v>30</v>
      </c>
      <c r="D14" s="37">
        <f>2.44/40*30</f>
        <v>1.83</v>
      </c>
      <c r="E14" s="37">
        <f>10.44/40*30</f>
        <v>7.83</v>
      </c>
      <c r="F14" s="37">
        <f>23.88/40*30</f>
        <v>17.91</v>
      </c>
      <c r="G14" s="63">
        <f>198.85/40*30</f>
        <v>149.13749999999999</v>
      </c>
      <c r="H14" s="37">
        <v>0</v>
      </c>
      <c r="I14" s="37">
        <v>583</v>
      </c>
    </row>
    <row r="15" spans="1:9" ht="30" customHeight="1" thickBot="1" x14ac:dyDescent="0.3">
      <c r="A15" s="76" t="s">
        <v>18</v>
      </c>
      <c r="B15" s="19" t="s">
        <v>125</v>
      </c>
      <c r="C15" s="20">
        <v>100</v>
      </c>
      <c r="D15" s="62">
        <f>22.6/150*100</f>
        <v>15.066666666666666</v>
      </c>
      <c r="E15" s="62">
        <f>8/150*100</f>
        <v>5.3333333333333339</v>
      </c>
      <c r="F15" s="62">
        <f>35/150*100</f>
        <v>23.333333333333332</v>
      </c>
      <c r="G15" s="62">
        <f>299/150*100</f>
        <v>199.33333333333334</v>
      </c>
      <c r="H15" s="62">
        <f>0.38/150*120</f>
        <v>0.30399999999999999</v>
      </c>
      <c r="I15" s="20" t="s">
        <v>126</v>
      </c>
    </row>
    <row r="16" spans="1:9" ht="19.5" customHeight="1" thickBot="1" x14ac:dyDescent="0.3">
      <c r="A16" s="87"/>
      <c r="B16" s="19" t="s">
        <v>127</v>
      </c>
      <c r="C16" s="20">
        <v>15</v>
      </c>
      <c r="D16" s="20">
        <f>1.44/20*C16</f>
        <v>1.0799999999999998</v>
      </c>
      <c r="E16" s="62">
        <f>1.7/20*C16</f>
        <v>1.2749999999999999</v>
      </c>
      <c r="F16" s="62">
        <f>11.1/20*C16</f>
        <v>8.3249999999999993</v>
      </c>
      <c r="G16" s="20">
        <f>65.4/20*C16</f>
        <v>49.050000000000004</v>
      </c>
      <c r="H16" s="20">
        <f>0.2/20*C16</f>
        <v>0.15</v>
      </c>
      <c r="I16" s="20">
        <v>472</v>
      </c>
    </row>
    <row r="17" spans="1:9" ht="19.5" customHeight="1" thickBot="1" x14ac:dyDescent="0.3">
      <c r="A17" s="87"/>
      <c r="B17" s="19" t="s">
        <v>69</v>
      </c>
      <c r="C17" s="20">
        <v>150</v>
      </c>
      <c r="D17" s="62">
        <f>0.3/200*150</f>
        <v>0.22500000000000001</v>
      </c>
      <c r="E17" s="62">
        <f>0.1/200*150</f>
        <v>7.4999999999999997E-2</v>
      </c>
      <c r="F17" s="62">
        <f>9.5/200*150</f>
        <v>7.125</v>
      </c>
      <c r="G17" s="20">
        <f>40/200*150</f>
        <v>30</v>
      </c>
      <c r="H17" s="20">
        <f>1/200*150</f>
        <v>0.75</v>
      </c>
      <c r="I17" s="20" t="s">
        <v>128</v>
      </c>
    </row>
    <row r="18" spans="1:9" ht="19.5" customHeight="1" thickBot="1" x14ac:dyDescent="0.3">
      <c r="A18" s="87"/>
      <c r="B18" s="19" t="s">
        <v>158</v>
      </c>
      <c r="C18" s="20">
        <v>100</v>
      </c>
      <c r="D18" s="20">
        <v>0.4</v>
      </c>
      <c r="E18" s="20">
        <v>0.4</v>
      </c>
      <c r="F18" s="20">
        <v>9.8000000000000007</v>
      </c>
      <c r="G18" s="20">
        <v>44</v>
      </c>
      <c r="H18" s="20">
        <v>7</v>
      </c>
      <c r="I18" s="20">
        <v>82</v>
      </c>
    </row>
    <row r="19" spans="1:9" ht="19.5" customHeight="1" thickBot="1" x14ac:dyDescent="0.3">
      <c r="A19" s="87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9.5" customHeight="1" thickBot="1" x14ac:dyDescent="0.3">
      <c r="A20" s="77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ht="15" customHeight="1" x14ac:dyDescent="0.25">
      <c r="A21" s="76" t="s">
        <v>31</v>
      </c>
      <c r="B21" s="81"/>
      <c r="C21" s="76">
        <f t="shared" ref="C21:H21" si="0">SUM(C3:C20)</f>
        <v>1530</v>
      </c>
      <c r="D21" s="84">
        <f t="shared" si="0"/>
        <v>59.061666666666667</v>
      </c>
      <c r="E21" s="84">
        <f t="shared" si="0"/>
        <v>50.333333333333329</v>
      </c>
      <c r="F21" s="84">
        <f t="shared" si="0"/>
        <v>199.08333333333337</v>
      </c>
      <c r="G21" s="84">
        <f>SUM(G3:G20)</f>
        <v>1525.3108333333332</v>
      </c>
      <c r="H21" s="84">
        <f t="shared" si="0"/>
        <v>29.138999999999996</v>
      </c>
      <c r="I21" s="81"/>
    </row>
    <row r="22" spans="1:9" ht="15" customHeight="1" x14ac:dyDescent="0.25">
      <c r="A22" s="87"/>
      <c r="B22" s="82"/>
      <c r="C22" s="87"/>
      <c r="D22" s="85"/>
      <c r="E22" s="85"/>
      <c r="F22" s="85"/>
      <c r="G22" s="85"/>
      <c r="H22" s="85"/>
      <c r="I22" s="82"/>
    </row>
    <row r="23" spans="1:9" ht="15.75" customHeight="1" thickBot="1" x14ac:dyDescent="0.3">
      <c r="A23" s="77"/>
      <c r="B23" s="83"/>
      <c r="C23" s="77"/>
      <c r="D23" s="86"/>
      <c r="E23" s="86"/>
      <c r="F23" s="86"/>
      <c r="G23" s="86"/>
      <c r="H23" s="86"/>
      <c r="I23" s="83"/>
    </row>
  </sheetData>
  <mergeCells count="18">
    <mergeCell ref="A3:A5"/>
    <mergeCell ref="A7:A12"/>
    <mergeCell ref="A15:A20"/>
    <mergeCell ref="A13:A14"/>
    <mergeCell ref="F21:F23"/>
    <mergeCell ref="I21:I23"/>
    <mergeCell ref="G21:G23"/>
    <mergeCell ref="H21:H23"/>
    <mergeCell ref="A21:A23"/>
    <mergeCell ref="B21:B23"/>
    <mergeCell ref="C21:C23"/>
    <mergeCell ref="D21:D23"/>
    <mergeCell ref="E21:E23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4" sqref="B24"/>
    </sheetView>
  </sheetViews>
  <sheetFormatPr defaultRowHeight="15" x14ac:dyDescent="0.25"/>
  <cols>
    <col min="1" max="1" width="16.5703125" customWidth="1"/>
    <col min="2" max="2" width="41.7109375" customWidth="1"/>
    <col min="3" max="3" width="11" customWidth="1"/>
    <col min="4" max="6" width="9.140625" customWidth="1"/>
    <col min="7" max="7" width="14.28515625" customWidth="1"/>
    <col min="8" max="8" width="11.5703125" customWidth="1"/>
    <col min="9" max="9" width="9.7109375" customWidth="1"/>
  </cols>
  <sheetData>
    <row r="1" spans="1:9" ht="39.7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0" customHeight="1" thickBot="1" x14ac:dyDescent="0.3">
      <c r="A2" s="45" t="s">
        <v>43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9.5" customHeight="1" thickBot="1" x14ac:dyDescent="0.3">
      <c r="A3" s="76" t="s">
        <v>12</v>
      </c>
      <c r="B3" s="25" t="s">
        <v>82</v>
      </c>
      <c r="C3" s="26">
        <v>150</v>
      </c>
      <c r="D3" s="26">
        <f>4.8/200*C3</f>
        <v>3.6</v>
      </c>
      <c r="E3" s="26">
        <f>5/200*C3</f>
        <v>3.75</v>
      </c>
      <c r="F3" s="26">
        <f>16.4/200*C3</f>
        <v>12.299999999999999</v>
      </c>
      <c r="G3" s="26">
        <f>156/200*C3</f>
        <v>117</v>
      </c>
      <c r="H3" s="64">
        <f>0.9/200*C3</f>
        <v>0.67500000000000004</v>
      </c>
      <c r="I3" s="26">
        <v>140</v>
      </c>
    </row>
    <row r="4" spans="1:9" ht="19.5" customHeight="1" thickBot="1" x14ac:dyDescent="0.3">
      <c r="A4" s="87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9.5" customHeight="1" thickBot="1" x14ac:dyDescent="0.3">
      <c r="A5" s="77"/>
      <c r="B5" s="23" t="s">
        <v>70</v>
      </c>
      <c r="C5" s="20">
        <v>150</v>
      </c>
      <c r="D5" s="20">
        <f>2.8/200*C5</f>
        <v>2.0999999999999996</v>
      </c>
      <c r="E5" s="62">
        <f>2.5/200*C5</f>
        <v>1.875</v>
      </c>
      <c r="F5" s="20">
        <f>13.6/200*C5</f>
        <v>10.200000000000001</v>
      </c>
      <c r="G5" s="20">
        <f>88/200*C5</f>
        <v>66</v>
      </c>
      <c r="H5" s="62">
        <f>0.7/200*C5</f>
        <v>0.52499999999999991</v>
      </c>
      <c r="I5" s="20">
        <v>465</v>
      </c>
    </row>
    <row r="6" spans="1:9" ht="39.75" customHeight="1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76" t="s">
        <v>14</v>
      </c>
      <c r="B7" s="25" t="s">
        <v>85</v>
      </c>
      <c r="C7" s="26">
        <v>30</v>
      </c>
      <c r="D7" s="26">
        <f>1.3/60*C7</f>
        <v>0.65</v>
      </c>
      <c r="E7" s="26">
        <f>6.1/60*C7</f>
        <v>3.05</v>
      </c>
      <c r="F7" s="26">
        <f>6.2/60*C7</f>
        <v>3.1</v>
      </c>
      <c r="G7" s="26">
        <f>41.2/60*C7</f>
        <v>20.6</v>
      </c>
      <c r="H7" s="26">
        <f>4.7/60*C7</f>
        <v>2.35</v>
      </c>
      <c r="I7" s="34" t="s">
        <v>145</v>
      </c>
    </row>
    <row r="8" spans="1:9" ht="19.5" customHeight="1" thickBot="1" x14ac:dyDescent="0.3">
      <c r="A8" s="87"/>
      <c r="B8" s="19" t="s">
        <v>86</v>
      </c>
      <c r="C8" s="20">
        <v>150</v>
      </c>
      <c r="D8" s="20">
        <f>1.88/200*C8</f>
        <v>1.4099999999999997</v>
      </c>
      <c r="E8" s="62">
        <f>3.62/200*C8</f>
        <v>2.7150000000000003</v>
      </c>
      <c r="F8" s="62">
        <f>7.64/200*C8</f>
        <v>5.7299999999999995</v>
      </c>
      <c r="G8" s="62">
        <f>121.1/200*C8</f>
        <v>90.824999999999989</v>
      </c>
      <c r="H8" s="62">
        <f>6.7/200*C8</f>
        <v>5.0250000000000004</v>
      </c>
      <c r="I8" s="20">
        <v>95</v>
      </c>
    </row>
    <row r="9" spans="1:9" ht="19.5" customHeight="1" thickBot="1" x14ac:dyDescent="0.3">
      <c r="A9" s="87"/>
      <c r="B9" s="19" t="s">
        <v>87</v>
      </c>
      <c r="C9" s="20">
        <v>70</v>
      </c>
      <c r="D9" s="20">
        <f>18/100*C9</f>
        <v>12.6</v>
      </c>
      <c r="E9" s="20">
        <f>5.5/100*C9</f>
        <v>3.85</v>
      </c>
      <c r="F9" s="20">
        <f>5.7/100*C9</f>
        <v>3.99</v>
      </c>
      <c r="G9" s="20">
        <f>145/100*C9</f>
        <v>101.5</v>
      </c>
      <c r="H9" s="20">
        <f>5/100*C9</f>
        <v>3.5</v>
      </c>
      <c r="I9" s="20">
        <v>361</v>
      </c>
    </row>
    <row r="10" spans="1:9" ht="19.5" customHeight="1" thickBot="1" x14ac:dyDescent="0.3">
      <c r="A10" s="87"/>
      <c r="B10" s="19" t="s">
        <v>80</v>
      </c>
      <c r="C10" s="20">
        <v>120</v>
      </c>
      <c r="D10" s="62">
        <f>3.72/150*C10</f>
        <v>2.9760000000000004</v>
      </c>
      <c r="E10" s="62">
        <f>4.87/150*C10</f>
        <v>3.8959999999999999</v>
      </c>
      <c r="F10" s="62">
        <f>38.11/150*C10</f>
        <v>30.488</v>
      </c>
      <c r="G10" s="62">
        <f>211.2/150*C10</f>
        <v>168.95999999999998</v>
      </c>
      <c r="H10" s="20">
        <v>0</v>
      </c>
      <c r="I10" s="20">
        <v>205</v>
      </c>
    </row>
    <row r="11" spans="1:9" ht="19.5" customHeight="1" thickBot="1" x14ac:dyDescent="0.3">
      <c r="A11" s="87"/>
      <c r="B11" s="19" t="s">
        <v>73</v>
      </c>
      <c r="C11" s="20">
        <v>150</v>
      </c>
      <c r="D11" s="62">
        <f>0.2/200*C11</f>
        <v>0.15</v>
      </c>
      <c r="E11" s="62">
        <f>0.1/200*C11</f>
        <v>7.4999999999999997E-2</v>
      </c>
      <c r="F11" s="62">
        <f>10.7/200*C11</f>
        <v>8.0250000000000004</v>
      </c>
      <c r="G11" s="62">
        <f>44/200*C11</f>
        <v>33</v>
      </c>
      <c r="H11" s="62">
        <f>16.5/200*C11</f>
        <v>12.375</v>
      </c>
      <c r="I11" s="20">
        <v>491</v>
      </c>
    </row>
    <row r="12" spans="1:9" ht="19.5" customHeight="1" thickBot="1" x14ac:dyDescent="0.3">
      <c r="A12" s="87"/>
      <c r="B12" s="9" t="s">
        <v>15</v>
      </c>
      <c r="C12" s="20">
        <v>20</v>
      </c>
      <c r="D12" s="20">
        <f>2.28/30*C12</f>
        <v>1.52</v>
      </c>
      <c r="E12" s="20">
        <f>0.24/30*C12</f>
        <v>0.16</v>
      </c>
      <c r="F12" s="20">
        <f>14.76/30*C12</f>
        <v>9.84</v>
      </c>
      <c r="G12" s="20">
        <f>70.2/30*C12</f>
        <v>46.800000000000004</v>
      </c>
      <c r="H12" s="20">
        <v>0</v>
      </c>
      <c r="I12" s="20">
        <v>573</v>
      </c>
    </row>
    <row r="13" spans="1:9" ht="19.5" customHeight="1" thickBot="1" x14ac:dyDescent="0.3">
      <c r="A13" s="77"/>
      <c r="B13" s="9" t="s">
        <v>16</v>
      </c>
      <c r="C13" s="20">
        <v>20</v>
      </c>
      <c r="D13" s="20">
        <f>2.4/30*C13</f>
        <v>1.6</v>
      </c>
      <c r="E13" s="20">
        <f>0.45/30*C13</f>
        <v>0.30000000000000004</v>
      </c>
      <c r="F13" s="20">
        <f>12.03/30*C13</f>
        <v>8.02</v>
      </c>
      <c r="G13" s="20">
        <f>61.8/30*C13</f>
        <v>41.2</v>
      </c>
      <c r="H13" s="20">
        <v>0</v>
      </c>
      <c r="I13" s="20">
        <v>574</v>
      </c>
    </row>
    <row r="14" spans="1:9" ht="19.5" customHeight="1" thickBot="1" x14ac:dyDescent="0.3">
      <c r="A14" s="76" t="s">
        <v>17</v>
      </c>
      <c r="B14" s="54" t="s">
        <v>35</v>
      </c>
      <c r="C14" s="20">
        <v>150</v>
      </c>
      <c r="D14" s="20">
        <f>5.8/200*C14</f>
        <v>4.3499999999999996</v>
      </c>
      <c r="E14" s="20">
        <f>5/200*C14</f>
        <v>3.75</v>
      </c>
      <c r="F14" s="20">
        <f>8/200*C14</f>
        <v>6</v>
      </c>
      <c r="G14" s="20">
        <f>156/200*C14</f>
        <v>117</v>
      </c>
      <c r="H14" s="20">
        <f>1.4/200*C14</f>
        <v>1.0499999999999998</v>
      </c>
      <c r="I14" s="20">
        <v>470</v>
      </c>
    </row>
    <row r="15" spans="1:9" ht="19.5" customHeight="1" thickBot="1" x14ac:dyDescent="0.3">
      <c r="A15" s="77"/>
      <c r="B15" s="55" t="s">
        <v>34</v>
      </c>
      <c r="C15" s="42">
        <v>40</v>
      </c>
      <c r="D15" s="42">
        <v>3.9</v>
      </c>
      <c r="E15" s="42">
        <v>30.6</v>
      </c>
      <c r="F15" s="42">
        <v>62.5</v>
      </c>
      <c r="G15" s="42">
        <v>276</v>
      </c>
      <c r="H15" s="42">
        <v>0</v>
      </c>
      <c r="I15" s="42">
        <v>576</v>
      </c>
    </row>
    <row r="16" spans="1:9" ht="19.5" customHeight="1" thickBot="1" x14ac:dyDescent="0.3">
      <c r="A16" s="76" t="s">
        <v>18</v>
      </c>
      <c r="B16" s="32" t="s">
        <v>146</v>
      </c>
      <c r="C16" s="26">
        <v>160</v>
      </c>
      <c r="D16" s="64">
        <f>17.4/220*C16</f>
        <v>12.654545454545454</v>
      </c>
      <c r="E16" s="64">
        <f>4.6/220*C16</f>
        <v>3.3454545454545452</v>
      </c>
      <c r="F16" s="64">
        <f>18.6/220*C16</f>
        <v>13.527272727272727</v>
      </c>
      <c r="G16" s="64">
        <f>184/220*C16</f>
        <v>133.81818181818181</v>
      </c>
      <c r="H16" s="64">
        <f>7.4/220*C16</f>
        <v>5.3818181818181818</v>
      </c>
      <c r="I16" s="26">
        <v>313</v>
      </c>
    </row>
    <row r="17" spans="1:10" ht="19.5" customHeight="1" thickBot="1" x14ac:dyDescent="0.3">
      <c r="A17" s="87"/>
      <c r="B17" s="19" t="s">
        <v>76</v>
      </c>
      <c r="C17" s="20">
        <v>150</v>
      </c>
      <c r="D17" s="62">
        <f>0.3/200*C17</f>
        <v>0.22500000000000001</v>
      </c>
      <c r="E17" s="62">
        <f>0.1/200*C17</f>
        <v>7.4999999999999997E-2</v>
      </c>
      <c r="F17" s="62">
        <f>9.5/200*C17</f>
        <v>7.125</v>
      </c>
      <c r="G17" s="62">
        <f>49.2/200*C17</f>
        <v>36.900000000000006</v>
      </c>
      <c r="H17" s="62">
        <f>1/200*C17</f>
        <v>0.75</v>
      </c>
      <c r="I17" s="20">
        <v>459</v>
      </c>
    </row>
    <row r="18" spans="1:10" ht="19.5" customHeight="1" thickBot="1" x14ac:dyDescent="0.3">
      <c r="A18" s="87"/>
      <c r="B18" s="19" t="s">
        <v>158</v>
      </c>
      <c r="C18" s="20">
        <v>100</v>
      </c>
      <c r="D18" s="20">
        <v>0.4</v>
      </c>
      <c r="E18" s="20">
        <v>0.4</v>
      </c>
      <c r="F18" s="20">
        <v>9.8000000000000007</v>
      </c>
      <c r="G18" s="20">
        <v>44</v>
      </c>
      <c r="H18" s="20">
        <v>7</v>
      </c>
      <c r="I18" s="20">
        <v>82</v>
      </c>
    </row>
    <row r="19" spans="1:10" ht="19.5" customHeight="1" thickBot="1" x14ac:dyDescent="0.3">
      <c r="A19" s="87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  <c r="J19" t="s">
        <v>200</v>
      </c>
    </row>
    <row r="20" spans="1:10" ht="19.5" customHeight="1" thickBot="1" x14ac:dyDescent="0.3">
      <c r="A20" s="77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10" ht="37.5" customHeight="1" thickBot="1" x14ac:dyDescent="0.3">
      <c r="A21" s="56" t="s">
        <v>65</v>
      </c>
      <c r="B21" s="25"/>
      <c r="C21" s="56">
        <f t="shared" ref="C21:H21" si="0">SUM(C3:C20)</f>
        <v>1625</v>
      </c>
      <c r="D21" s="73">
        <f t="shared" si="0"/>
        <v>52.835545454545453</v>
      </c>
      <c r="E21" s="73">
        <f t="shared" si="0"/>
        <v>65.831454545454548</v>
      </c>
      <c r="F21" s="73">
        <f t="shared" si="0"/>
        <v>227.50527272727274</v>
      </c>
      <c r="G21" s="73">
        <f t="shared" si="0"/>
        <v>1520.5031818181819</v>
      </c>
      <c r="H21" s="73">
        <f t="shared" si="0"/>
        <v>40.631818181818183</v>
      </c>
      <c r="I21" s="26"/>
    </row>
  </sheetData>
  <mergeCells count="9">
    <mergeCell ref="I1:I2"/>
    <mergeCell ref="A3:A5"/>
    <mergeCell ref="A7:A13"/>
    <mergeCell ref="A14:A15"/>
    <mergeCell ref="A16:A20"/>
    <mergeCell ref="C1:C2"/>
    <mergeCell ref="D1:F1"/>
    <mergeCell ref="G1:G2"/>
    <mergeCell ref="H1:H2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20" sqref="C20"/>
    </sheetView>
  </sheetViews>
  <sheetFormatPr defaultRowHeight="15" x14ac:dyDescent="0.25"/>
  <cols>
    <col min="1" max="1" width="12.85546875" customWidth="1"/>
    <col min="2" max="2" width="48" customWidth="1"/>
    <col min="3" max="9" width="10.85546875" customWidth="1"/>
  </cols>
  <sheetData>
    <row r="1" spans="1:9" ht="28.5" customHeight="1" thickBot="1" x14ac:dyDescent="0.3">
      <c r="A1" s="51" t="s">
        <v>19</v>
      </c>
      <c r="B1" s="5" t="s">
        <v>2</v>
      </c>
      <c r="C1" s="99" t="s">
        <v>4</v>
      </c>
      <c r="D1" s="96" t="s">
        <v>5</v>
      </c>
      <c r="E1" s="97"/>
      <c r="F1" s="98"/>
      <c r="G1" s="99" t="s">
        <v>6</v>
      </c>
      <c r="H1" s="99" t="s">
        <v>7</v>
      </c>
      <c r="I1" s="99" t="s">
        <v>8</v>
      </c>
    </row>
    <row r="2" spans="1:9" ht="35.25" customHeight="1" thickBot="1" x14ac:dyDescent="0.3">
      <c r="A2" s="2" t="s">
        <v>44</v>
      </c>
      <c r="B2" s="6" t="s">
        <v>3</v>
      </c>
      <c r="C2" s="100"/>
      <c r="D2" s="6" t="s">
        <v>9</v>
      </c>
      <c r="E2" s="6" t="s">
        <v>10</v>
      </c>
      <c r="F2" s="6" t="s">
        <v>11</v>
      </c>
      <c r="G2" s="100"/>
      <c r="H2" s="100"/>
      <c r="I2" s="100"/>
    </row>
    <row r="3" spans="1:9" ht="19.5" customHeight="1" thickBot="1" x14ac:dyDescent="0.3">
      <c r="A3" s="99" t="s">
        <v>12</v>
      </c>
      <c r="B3" s="19" t="s">
        <v>147</v>
      </c>
      <c r="C3" s="20">
        <v>150</v>
      </c>
      <c r="D3" s="20">
        <f>7.24/200*C3</f>
        <v>5.4300000000000006</v>
      </c>
      <c r="E3" s="20">
        <f>6.64/200*C3</f>
        <v>4.9800000000000004</v>
      </c>
      <c r="F3" s="20">
        <f>33.12/200*C3</f>
        <v>24.84</v>
      </c>
      <c r="G3" s="20">
        <f>221.2/200*C3</f>
        <v>165.89999999999998</v>
      </c>
      <c r="H3" s="20">
        <f>1.26/200*C3</f>
        <v>0.94500000000000006</v>
      </c>
      <c r="I3" s="52" t="s">
        <v>151</v>
      </c>
    </row>
    <row r="4" spans="1:9" ht="19.5" customHeight="1" thickBot="1" x14ac:dyDescent="0.3">
      <c r="A4" s="101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9.5" customHeight="1" thickBot="1" x14ac:dyDescent="0.3">
      <c r="A5" s="100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7">
        <f>0.3/200*C5</f>
        <v>0.22500000000000001</v>
      </c>
      <c r="I5" s="7">
        <v>460</v>
      </c>
    </row>
    <row r="6" spans="1:9" ht="33.75" customHeight="1" thickBot="1" x14ac:dyDescent="0.3">
      <c r="A6" s="2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99" t="s">
        <v>14</v>
      </c>
      <c r="B7" s="19" t="s">
        <v>148</v>
      </c>
      <c r="C7" s="20">
        <v>150</v>
      </c>
      <c r="D7" s="62">
        <f>2.6/200*C7</f>
        <v>1.9500000000000002</v>
      </c>
      <c r="E7" s="62">
        <f>2.7/200*C7</f>
        <v>2.0250000000000004</v>
      </c>
      <c r="F7" s="62">
        <f>8.6/200*C7</f>
        <v>6.4499999999999993</v>
      </c>
      <c r="G7" s="62">
        <f>110/200*C7</f>
        <v>82.5</v>
      </c>
      <c r="H7" s="62">
        <f>6.5/200*C7</f>
        <v>4.875</v>
      </c>
      <c r="I7" s="20">
        <v>112</v>
      </c>
    </row>
    <row r="8" spans="1:9" ht="19.5" customHeight="1" thickBot="1" x14ac:dyDescent="0.3">
      <c r="A8" s="101"/>
      <c r="B8" s="19" t="s">
        <v>149</v>
      </c>
      <c r="C8" s="20">
        <v>50</v>
      </c>
      <c r="D8" s="20">
        <f>8.4/60*C8</f>
        <v>7.0000000000000009</v>
      </c>
      <c r="E8" s="62">
        <f>6.5/60*C8</f>
        <v>5.416666666666667</v>
      </c>
      <c r="F8" s="62">
        <f>9.7/60*C8</f>
        <v>8.0833333333333321</v>
      </c>
      <c r="G8" s="62">
        <f>131/60*C8</f>
        <v>109.16666666666666</v>
      </c>
      <c r="H8" s="20">
        <v>0</v>
      </c>
      <c r="I8" s="20">
        <v>350</v>
      </c>
    </row>
    <row r="9" spans="1:9" ht="19.5" customHeight="1" thickBot="1" x14ac:dyDescent="0.3">
      <c r="A9" s="101"/>
      <c r="B9" s="19" t="s">
        <v>150</v>
      </c>
      <c r="C9" s="20">
        <v>120</v>
      </c>
      <c r="D9" s="20">
        <f>3/150*C9</f>
        <v>2.4</v>
      </c>
      <c r="E9" s="20">
        <f>5.1/150*C9</f>
        <v>4.0799999999999992</v>
      </c>
      <c r="F9" s="20">
        <f>11.4/150*C9</f>
        <v>9.1199999999999992</v>
      </c>
      <c r="G9" s="20">
        <f>103.5/150*C9</f>
        <v>82.8</v>
      </c>
      <c r="H9" s="20">
        <f>17.5/150*C9</f>
        <v>14</v>
      </c>
      <c r="I9" s="20">
        <v>380</v>
      </c>
    </row>
    <row r="10" spans="1:9" ht="19.5" customHeight="1" thickBot="1" x14ac:dyDescent="0.3">
      <c r="A10" s="101"/>
      <c r="B10" s="19"/>
      <c r="C10" s="20"/>
      <c r="D10" s="20"/>
      <c r="E10" s="20"/>
      <c r="F10" s="20"/>
      <c r="G10" s="20"/>
      <c r="H10" s="20"/>
      <c r="I10" s="20"/>
    </row>
    <row r="11" spans="1:9" ht="19.5" customHeight="1" thickBot="1" x14ac:dyDescent="0.3">
      <c r="A11" s="101"/>
      <c r="B11" s="19"/>
      <c r="C11" s="20"/>
      <c r="D11" s="20"/>
      <c r="E11" s="20"/>
      <c r="F11" s="20"/>
      <c r="G11" s="20"/>
      <c r="H11" s="20"/>
      <c r="I11" s="20"/>
    </row>
    <row r="12" spans="1:9" ht="19.5" customHeight="1" thickBot="1" x14ac:dyDescent="0.3">
      <c r="A12" s="101"/>
      <c r="B12" s="19" t="s">
        <v>124</v>
      </c>
      <c r="C12" s="20">
        <v>150</v>
      </c>
      <c r="D12" s="20">
        <f>1.8/200*C12</f>
        <v>1.35</v>
      </c>
      <c r="E12" s="20">
        <f>1.8/200*C12</f>
        <v>1.35</v>
      </c>
      <c r="F12" s="20">
        <f>11/200*C12</f>
        <v>8.25</v>
      </c>
      <c r="G12" s="20">
        <f>90/200*C12</f>
        <v>67.5</v>
      </c>
      <c r="H12" s="20">
        <f>1/200*C12</f>
        <v>0.75</v>
      </c>
      <c r="I12" s="20">
        <v>479</v>
      </c>
    </row>
    <row r="13" spans="1:9" ht="19.5" customHeight="1" thickBot="1" x14ac:dyDescent="0.3">
      <c r="A13" s="101"/>
      <c r="B13" s="61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70.2/200*C13</f>
        <v>7.0200000000000005</v>
      </c>
      <c r="H13" s="20">
        <v>0</v>
      </c>
      <c r="I13" s="20">
        <v>573</v>
      </c>
    </row>
    <row r="14" spans="1:9" ht="19.5" customHeight="1" thickBot="1" x14ac:dyDescent="0.3">
      <c r="A14" s="100"/>
      <c r="B14" s="61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9.5" customHeight="1" thickBot="1" x14ac:dyDescent="0.3">
      <c r="A15" s="99" t="s">
        <v>23</v>
      </c>
      <c r="B15" s="19" t="s">
        <v>39</v>
      </c>
      <c r="C15" s="20">
        <v>150</v>
      </c>
      <c r="D15" s="20">
        <f>5.8/200*C15</f>
        <v>4.3499999999999996</v>
      </c>
      <c r="E15" s="20">
        <f>5/200*C15</f>
        <v>3.75</v>
      </c>
      <c r="F15" s="20">
        <f>8/200*C15</f>
        <v>6</v>
      </c>
      <c r="G15" s="20">
        <f>156/200*C15</f>
        <v>117</v>
      </c>
      <c r="H15" s="20">
        <f>1.4/200*C15</f>
        <v>1.0499999999999998</v>
      </c>
      <c r="I15" s="20">
        <v>470</v>
      </c>
    </row>
    <row r="16" spans="1:9" ht="19.5" customHeight="1" thickBot="1" x14ac:dyDescent="0.3">
      <c r="A16" s="101"/>
      <c r="B16" s="60" t="s">
        <v>71</v>
      </c>
      <c r="C16" s="59">
        <v>30</v>
      </c>
      <c r="D16" s="59">
        <f>2.44/40*30</f>
        <v>1.83</v>
      </c>
      <c r="E16" s="59">
        <f>10.44/40*30</f>
        <v>7.83</v>
      </c>
      <c r="F16" s="59">
        <f>23.88/40*30</f>
        <v>17.91</v>
      </c>
      <c r="G16" s="63">
        <f>198.85/40*30</f>
        <v>149.13749999999999</v>
      </c>
      <c r="H16" s="59">
        <v>0</v>
      </c>
      <c r="I16" s="59">
        <v>583</v>
      </c>
    </row>
    <row r="17" spans="1:9" ht="19.5" customHeight="1" thickBot="1" x14ac:dyDescent="0.3">
      <c r="A17" s="99" t="s">
        <v>18</v>
      </c>
      <c r="B17" s="19" t="s">
        <v>125</v>
      </c>
      <c r="C17" s="20">
        <v>100</v>
      </c>
      <c r="D17" s="62">
        <f>22.6/150*100</f>
        <v>15.066666666666666</v>
      </c>
      <c r="E17" s="62">
        <f>8/150*100</f>
        <v>5.3333333333333339</v>
      </c>
      <c r="F17" s="62">
        <f>35/150*100</f>
        <v>23.333333333333332</v>
      </c>
      <c r="G17" s="62">
        <f>299/150*100</f>
        <v>199.33333333333334</v>
      </c>
      <c r="H17" s="62">
        <f>0.38/150*120</f>
        <v>0.30399999999999999</v>
      </c>
      <c r="I17" s="20" t="s">
        <v>126</v>
      </c>
    </row>
    <row r="18" spans="1:9" ht="19.5" customHeight="1" thickBot="1" x14ac:dyDescent="0.3">
      <c r="A18" s="101"/>
      <c r="B18" s="19" t="s">
        <v>127</v>
      </c>
      <c r="C18" s="20">
        <v>15</v>
      </c>
      <c r="D18" s="20">
        <f>1.44/20*C18</f>
        <v>1.0799999999999998</v>
      </c>
      <c r="E18" s="62">
        <f>1.7/20*C18</f>
        <v>1.2749999999999999</v>
      </c>
      <c r="F18" s="62">
        <f>11.1/20*C18</f>
        <v>8.3249999999999993</v>
      </c>
      <c r="G18" s="20">
        <f>65.4/20*C18</f>
        <v>49.050000000000004</v>
      </c>
      <c r="H18" s="20">
        <f>0.2/20*C18</f>
        <v>0.15</v>
      </c>
      <c r="I18" s="20">
        <v>472</v>
      </c>
    </row>
    <row r="19" spans="1:9" ht="19.5" customHeight="1" thickBot="1" x14ac:dyDescent="0.3">
      <c r="A19" s="101"/>
      <c r="B19" s="19" t="s">
        <v>69</v>
      </c>
      <c r="C19" s="20">
        <v>180</v>
      </c>
      <c r="D19" s="62">
        <f>0.3/200*150</f>
        <v>0.22500000000000001</v>
      </c>
      <c r="E19" s="62">
        <f>0.1/200*150</f>
        <v>7.4999999999999997E-2</v>
      </c>
      <c r="F19" s="62">
        <f>9.5/200*150</f>
        <v>7.125</v>
      </c>
      <c r="G19" s="62">
        <f>40/200*150</f>
        <v>30</v>
      </c>
      <c r="H19" s="62">
        <f>1/200*150</f>
        <v>0.75</v>
      </c>
      <c r="I19" s="20" t="s">
        <v>128</v>
      </c>
    </row>
    <row r="20" spans="1:9" ht="19.5" customHeight="1" thickBot="1" x14ac:dyDescent="0.3">
      <c r="A20" s="101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9.5" customHeight="1" thickBot="1" x14ac:dyDescent="0.3">
      <c r="A21" s="100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ht="35.25" customHeight="1" thickBot="1" x14ac:dyDescent="0.3">
      <c r="A22" s="2" t="s">
        <v>194</v>
      </c>
      <c r="B22" s="9"/>
      <c r="C22" s="6">
        <f t="shared" ref="C22:H22" si="0">SUM(C3:C21)</f>
        <v>1450</v>
      </c>
      <c r="D22" s="74">
        <f t="shared" si="0"/>
        <v>49.702747747747758</v>
      </c>
      <c r="E22" s="74">
        <f t="shared" si="0"/>
        <v>45.542432432432427</v>
      </c>
      <c r="F22" s="74">
        <f t="shared" si="0"/>
        <v>180.53842342342344</v>
      </c>
      <c r="G22" s="74">
        <f t="shared" si="0"/>
        <v>1390.5264189189188</v>
      </c>
      <c r="H22" s="74">
        <f t="shared" si="0"/>
        <v>25.048999999999999</v>
      </c>
      <c r="I22" s="13"/>
    </row>
  </sheetData>
  <mergeCells count="9">
    <mergeCell ref="A17:A21"/>
    <mergeCell ref="G1:G2"/>
    <mergeCell ref="H1:H2"/>
    <mergeCell ref="I1:I2"/>
    <mergeCell ref="A3:A5"/>
    <mergeCell ref="A15:A16"/>
    <mergeCell ref="A7:A14"/>
    <mergeCell ref="C1:C2"/>
    <mergeCell ref="D1:F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3" sqref="B3:I3"/>
    </sheetView>
  </sheetViews>
  <sheetFormatPr defaultRowHeight="15" x14ac:dyDescent="0.25"/>
  <cols>
    <col min="1" max="1" width="14.85546875" customWidth="1"/>
    <col min="2" max="2" width="36.5703125" customWidth="1"/>
    <col min="3" max="9" width="10.85546875" customWidth="1"/>
  </cols>
  <sheetData>
    <row r="1" spans="1:9" ht="31.5" customHeight="1" thickBot="1" x14ac:dyDescent="0.3">
      <c r="A1" s="51" t="s">
        <v>19</v>
      </c>
      <c r="B1" s="5" t="s">
        <v>2</v>
      </c>
      <c r="C1" s="99" t="s">
        <v>4</v>
      </c>
      <c r="D1" s="96" t="s">
        <v>5</v>
      </c>
      <c r="E1" s="97"/>
      <c r="F1" s="98"/>
      <c r="G1" s="99" t="s">
        <v>6</v>
      </c>
      <c r="H1" s="99" t="s">
        <v>7</v>
      </c>
      <c r="I1" s="99" t="s">
        <v>8</v>
      </c>
    </row>
    <row r="2" spans="1:9" ht="31.5" customHeight="1" thickBot="1" x14ac:dyDescent="0.3">
      <c r="A2" s="8" t="s">
        <v>45</v>
      </c>
      <c r="B2" s="6" t="s">
        <v>3</v>
      </c>
      <c r="C2" s="100"/>
      <c r="D2" s="6" t="s">
        <v>9</v>
      </c>
      <c r="E2" s="6" t="s">
        <v>10</v>
      </c>
      <c r="F2" s="6" t="s">
        <v>11</v>
      </c>
      <c r="G2" s="100"/>
      <c r="H2" s="100"/>
      <c r="I2" s="100"/>
    </row>
    <row r="3" spans="1:9" ht="18.75" customHeight="1" thickBot="1" x14ac:dyDescent="0.3">
      <c r="A3" s="99" t="s">
        <v>12</v>
      </c>
      <c r="B3" s="25" t="s">
        <v>82</v>
      </c>
      <c r="C3" s="26">
        <v>150</v>
      </c>
      <c r="D3" s="26">
        <f>4.8/200*C3</f>
        <v>3.6</v>
      </c>
      <c r="E3" s="26">
        <f>5/200*C3</f>
        <v>3.75</v>
      </c>
      <c r="F3" s="26">
        <f>16.4/200*C3</f>
        <v>12.299999999999999</v>
      </c>
      <c r="G3" s="26">
        <f>156/200*C3</f>
        <v>117</v>
      </c>
      <c r="H3" s="26">
        <f>0.9/200*C3</f>
        <v>0.67500000000000004</v>
      </c>
      <c r="I3" s="26">
        <v>140</v>
      </c>
    </row>
    <row r="4" spans="1:9" ht="18.75" customHeight="1" thickBot="1" x14ac:dyDescent="0.3">
      <c r="A4" s="101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8.75" customHeight="1" thickBot="1" x14ac:dyDescent="0.3">
      <c r="A5" s="100"/>
      <c r="B5" s="19" t="s">
        <v>67</v>
      </c>
      <c r="C5" s="21">
        <v>150</v>
      </c>
      <c r="D5" s="62">
        <f>3.3/200*C5</f>
        <v>2.4750000000000001</v>
      </c>
      <c r="E5" s="62">
        <f>2.9/200*C5</f>
        <v>2.1749999999999998</v>
      </c>
      <c r="F5" s="62">
        <f>13.8/200*C5</f>
        <v>10.350000000000001</v>
      </c>
      <c r="G5" s="62">
        <f>94/200*C5</f>
        <v>70.5</v>
      </c>
      <c r="H5" s="62">
        <f>0.7/200*C5</f>
        <v>0.52499999999999991</v>
      </c>
      <c r="I5" s="20">
        <v>462</v>
      </c>
    </row>
    <row r="6" spans="1:9" ht="36.75" customHeight="1" thickBot="1" x14ac:dyDescent="0.3">
      <c r="A6" s="8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.75" customHeight="1" thickBot="1" x14ac:dyDescent="0.3">
      <c r="A7" s="99" t="s">
        <v>14</v>
      </c>
      <c r="B7" s="9" t="s">
        <v>152</v>
      </c>
      <c r="C7" s="7">
        <v>40</v>
      </c>
      <c r="D7" s="7">
        <f>1.8/60*C7</f>
        <v>1.2000000000000002</v>
      </c>
      <c r="E7" s="7">
        <f>5.04/60*C7</f>
        <v>3.3600000000000003</v>
      </c>
      <c r="F7" s="7">
        <f>4.2/60*C7</f>
        <v>2.8000000000000003</v>
      </c>
      <c r="G7" s="7">
        <f>69.6/60*C7</f>
        <v>46.4</v>
      </c>
      <c r="H7" s="7">
        <f>2.94/60*C7</f>
        <v>1.96</v>
      </c>
      <c r="I7" s="7">
        <v>32</v>
      </c>
    </row>
    <row r="8" spans="1:9" ht="18.75" customHeight="1" thickBot="1" x14ac:dyDescent="0.3">
      <c r="A8" s="101"/>
      <c r="B8" s="9" t="s">
        <v>153</v>
      </c>
      <c r="C8" s="7">
        <v>150</v>
      </c>
      <c r="D8" s="7">
        <f>2.6/200*C8</f>
        <v>1.9500000000000002</v>
      </c>
      <c r="E8" s="66">
        <f>2.7/200*C8</f>
        <v>2.0250000000000004</v>
      </c>
      <c r="F8" s="7">
        <f>8.6/200*C8</f>
        <v>6.4499999999999993</v>
      </c>
      <c r="G8" s="7">
        <f>69/200*C8</f>
        <v>51.749999999999993</v>
      </c>
      <c r="H8" s="66">
        <f>6.5/200*C8</f>
        <v>4.875</v>
      </c>
      <c r="I8" s="7">
        <v>115</v>
      </c>
    </row>
    <row r="9" spans="1:9" ht="18.75" customHeight="1" thickBot="1" x14ac:dyDescent="0.3">
      <c r="A9" s="101"/>
      <c r="B9" s="9" t="s">
        <v>154</v>
      </c>
      <c r="C9" s="7">
        <v>60</v>
      </c>
      <c r="D9" s="7">
        <f>9.8/70*C9</f>
        <v>8.4</v>
      </c>
      <c r="E9" s="7">
        <f>4.2/70*C9</f>
        <v>3.6</v>
      </c>
      <c r="F9" s="7">
        <f>2.1/70*C9</f>
        <v>1.8</v>
      </c>
      <c r="G9" s="66">
        <f>141.5/70*C9</f>
        <v>121.28571428571428</v>
      </c>
      <c r="H9" s="7">
        <f>0.35/70*C9</f>
        <v>0.3</v>
      </c>
      <c r="I9" s="7">
        <v>373</v>
      </c>
    </row>
    <row r="10" spans="1:9" ht="18.75" customHeight="1" thickBot="1" x14ac:dyDescent="0.3">
      <c r="A10" s="101"/>
      <c r="B10" s="9" t="s">
        <v>155</v>
      </c>
      <c r="C10" s="7">
        <v>120</v>
      </c>
      <c r="D10" s="7">
        <f>8.85/150*C10</f>
        <v>7.08</v>
      </c>
      <c r="E10" s="66">
        <f>6.61/150*C10</f>
        <v>5.2880000000000003</v>
      </c>
      <c r="F10" s="66">
        <f>39.21/150*C10</f>
        <v>31.368000000000002</v>
      </c>
      <c r="G10" s="66">
        <f>186.4/150*C10</f>
        <v>149.12</v>
      </c>
      <c r="H10" s="7">
        <v>0</v>
      </c>
      <c r="I10" s="7">
        <v>207</v>
      </c>
    </row>
    <row r="11" spans="1:9" ht="18.75" customHeight="1" thickBot="1" x14ac:dyDescent="0.3">
      <c r="A11" s="101"/>
      <c r="B11" s="25" t="s">
        <v>78</v>
      </c>
      <c r="C11" s="20">
        <v>20</v>
      </c>
      <c r="D11" s="62">
        <f>1.22/30*C11</f>
        <v>0.81333333333333324</v>
      </c>
      <c r="E11" s="62">
        <f>7.32/30*C11</f>
        <v>4.8800000000000008</v>
      </c>
      <c r="F11" s="62">
        <f>4.73/30*C11</f>
        <v>3.1533333333333333</v>
      </c>
      <c r="G11" s="62">
        <f>26.9/30*C11</f>
        <v>17.933333333333334</v>
      </c>
      <c r="H11" s="62">
        <f>10.4/30*C11</f>
        <v>6.9333333333333336</v>
      </c>
      <c r="I11" s="20">
        <v>420</v>
      </c>
    </row>
    <row r="12" spans="1:9" ht="18.75" customHeight="1" thickBot="1" x14ac:dyDescent="0.3">
      <c r="A12" s="101"/>
      <c r="B12" s="19" t="s">
        <v>42</v>
      </c>
      <c r="C12" s="20">
        <v>150</v>
      </c>
      <c r="D12" s="62">
        <f>0.67/200*C12</f>
        <v>0.50250000000000006</v>
      </c>
      <c r="E12" s="62">
        <f>0.27/200*C12</f>
        <v>0.20250000000000001</v>
      </c>
      <c r="F12" s="62">
        <f>18.3/200*C12</f>
        <v>13.725</v>
      </c>
      <c r="G12" s="62">
        <f>78/200*C12</f>
        <v>58.5</v>
      </c>
      <c r="H12" s="62">
        <f>80/200*C12</f>
        <v>60</v>
      </c>
      <c r="I12" s="20">
        <v>496</v>
      </c>
    </row>
    <row r="13" spans="1:9" ht="18.75" customHeight="1" thickBot="1" x14ac:dyDescent="0.3">
      <c r="A13" s="101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8.75" customHeight="1" thickBot="1" x14ac:dyDescent="0.3">
      <c r="A14" s="100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8.75" customHeight="1" thickBot="1" x14ac:dyDescent="0.3">
      <c r="A15" s="99" t="s">
        <v>17</v>
      </c>
      <c r="B15" s="19" t="s">
        <v>118</v>
      </c>
      <c r="C15" s="20">
        <v>150</v>
      </c>
      <c r="D15" s="62">
        <f>5.8/200*C15</f>
        <v>4.3499999999999996</v>
      </c>
      <c r="E15" s="62">
        <f>5.3/200*C15</f>
        <v>3.9750000000000001</v>
      </c>
      <c r="F15" s="62">
        <f>9.1/200*C15</f>
        <v>6.8250000000000002</v>
      </c>
      <c r="G15" s="62">
        <f>108/200*C15</f>
        <v>81</v>
      </c>
      <c r="H15" s="62">
        <f>1.4/200*C15</f>
        <v>1.0499999999999998</v>
      </c>
      <c r="I15" s="20">
        <v>469</v>
      </c>
    </row>
    <row r="16" spans="1:9" ht="18.75" customHeight="1" thickBot="1" x14ac:dyDescent="0.3">
      <c r="A16" s="100"/>
      <c r="B16" s="9" t="s">
        <v>156</v>
      </c>
      <c r="C16" s="7">
        <v>60</v>
      </c>
      <c r="D16" s="7">
        <f>7.2/60*C16</f>
        <v>7.2</v>
      </c>
      <c r="E16" s="7">
        <f>6.7/60*C16</f>
        <v>6.7</v>
      </c>
      <c r="F16" s="7">
        <f>40.4/60*C16</f>
        <v>40.4</v>
      </c>
      <c r="G16" s="7">
        <f>251/60*C16</f>
        <v>251</v>
      </c>
      <c r="H16" s="7">
        <f>0.2/60*C16</f>
        <v>0.2</v>
      </c>
      <c r="I16" s="7">
        <v>550</v>
      </c>
    </row>
    <row r="17" spans="1:9" ht="18.75" customHeight="1" thickBot="1" x14ac:dyDescent="0.3">
      <c r="A17" s="99" t="s">
        <v>18</v>
      </c>
      <c r="B17" s="22" t="s">
        <v>22</v>
      </c>
      <c r="C17" s="58">
        <v>120</v>
      </c>
      <c r="D17" s="58">
        <f>4.05/150*C17</f>
        <v>3.2399999999999998</v>
      </c>
      <c r="E17" s="58">
        <f>6/150*C17</f>
        <v>4.8</v>
      </c>
      <c r="F17" s="58">
        <f>8.7/150*C17</f>
        <v>6.9599999999999991</v>
      </c>
      <c r="G17" s="58">
        <f>105/150*C17</f>
        <v>84</v>
      </c>
      <c r="H17" s="58">
        <f>3.6/150*C17</f>
        <v>2.88</v>
      </c>
      <c r="I17" s="58">
        <v>377</v>
      </c>
    </row>
    <row r="18" spans="1:9" ht="18.75" customHeight="1" thickBot="1" x14ac:dyDescent="0.3">
      <c r="A18" s="101"/>
      <c r="B18" s="25" t="s">
        <v>121</v>
      </c>
      <c r="C18" s="26">
        <v>30</v>
      </c>
      <c r="D18" s="26">
        <f>0.48/60*30</f>
        <v>0.24</v>
      </c>
      <c r="E18" s="26">
        <f>0.06/60*30</f>
        <v>0.03</v>
      </c>
      <c r="F18" s="26">
        <f>1.02/60*30</f>
        <v>0.51</v>
      </c>
      <c r="G18" s="26">
        <f>6.6/60*30</f>
        <v>3.3</v>
      </c>
      <c r="H18" s="26">
        <f>1.5/60*30</f>
        <v>0.75</v>
      </c>
      <c r="I18" s="26">
        <v>149</v>
      </c>
    </row>
    <row r="19" spans="1:9" ht="18.75" customHeight="1" thickBot="1" x14ac:dyDescent="0.3">
      <c r="A19" s="101"/>
      <c r="B19" s="19" t="s">
        <v>69</v>
      </c>
      <c r="C19" s="20">
        <v>150</v>
      </c>
      <c r="D19" s="62">
        <f>0.3/200*150</f>
        <v>0.22500000000000001</v>
      </c>
      <c r="E19" s="62">
        <f>0.1/200*150</f>
        <v>7.4999999999999997E-2</v>
      </c>
      <c r="F19" s="62">
        <f>9.5/200*150</f>
        <v>7.125</v>
      </c>
      <c r="G19" s="62">
        <f>40/200*150</f>
        <v>30</v>
      </c>
      <c r="H19" s="62">
        <f>1/200*150</f>
        <v>0.75</v>
      </c>
      <c r="I19" s="20" t="s">
        <v>128</v>
      </c>
    </row>
    <row r="20" spans="1:9" ht="18.75" customHeight="1" thickBot="1" x14ac:dyDescent="0.3">
      <c r="A20" s="101"/>
      <c r="B20" s="19" t="s">
        <v>158</v>
      </c>
      <c r="C20" s="7">
        <v>100</v>
      </c>
      <c r="D20" s="7">
        <v>0.4</v>
      </c>
      <c r="E20" s="7">
        <v>0.4</v>
      </c>
      <c r="F20" s="7">
        <v>9.8000000000000007</v>
      </c>
      <c r="G20" s="7">
        <v>44</v>
      </c>
      <c r="H20" s="7">
        <v>7</v>
      </c>
      <c r="I20" s="7">
        <v>82</v>
      </c>
    </row>
    <row r="21" spans="1:9" ht="18.75" customHeight="1" thickBot="1" x14ac:dyDescent="0.3">
      <c r="A21" s="101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8.75" customHeight="1" thickBot="1" x14ac:dyDescent="0.3">
      <c r="A22" s="100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x14ac:dyDescent="0.25">
      <c r="A23" s="99" t="s">
        <v>193</v>
      </c>
      <c r="B23" s="117"/>
      <c r="C23" s="99">
        <f t="shared" ref="C23:H23" si="0">SUM(C3:C22)</f>
        <v>1655</v>
      </c>
      <c r="D23" s="108">
        <f t="shared" si="0"/>
        <v>49.496914414414427</v>
      </c>
      <c r="E23" s="108">
        <f t="shared" si="0"/>
        <v>49.712932432432424</v>
      </c>
      <c r="F23" s="108">
        <f t="shared" si="0"/>
        <v>206.04309009009012</v>
      </c>
      <c r="G23" s="108">
        <f t="shared" si="0"/>
        <v>1440.7079665379663</v>
      </c>
      <c r="H23" s="108">
        <f t="shared" si="0"/>
        <v>89.898333333333326</v>
      </c>
      <c r="I23" s="99"/>
    </row>
    <row r="24" spans="1:9" x14ac:dyDescent="0.25">
      <c r="A24" s="101"/>
      <c r="B24" s="118"/>
      <c r="C24" s="101"/>
      <c r="D24" s="109"/>
      <c r="E24" s="109"/>
      <c r="F24" s="109"/>
      <c r="G24" s="109"/>
      <c r="H24" s="109"/>
      <c r="I24" s="101"/>
    </row>
    <row r="25" spans="1:9" ht="15.75" thickBot="1" x14ac:dyDescent="0.3">
      <c r="A25" s="100"/>
      <c r="B25" s="119"/>
      <c r="C25" s="100"/>
      <c r="D25" s="110"/>
      <c r="E25" s="110"/>
      <c r="F25" s="110"/>
      <c r="G25" s="110"/>
      <c r="H25" s="110"/>
      <c r="I25" s="100"/>
    </row>
  </sheetData>
  <mergeCells count="18">
    <mergeCell ref="C1:C2"/>
    <mergeCell ref="D1:F1"/>
    <mergeCell ref="G1:G2"/>
    <mergeCell ref="H1:H2"/>
    <mergeCell ref="I1:I2"/>
    <mergeCell ref="F23:F25"/>
    <mergeCell ref="G23:G25"/>
    <mergeCell ref="H23:H25"/>
    <mergeCell ref="I23:I25"/>
    <mergeCell ref="A3:A5"/>
    <mergeCell ref="A7:A14"/>
    <mergeCell ref="A15:A16"/>
    <mergeCell ref="A17:A22"/>
    <mergeCell ref="A23:A25"/>
    <mergeCell ref="B23:B25"/>
    <mergeCell ref="C23:C25"/>
    <mergeCell ref="D23:D25"/>
    <mergeCell ref="E23:E2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15" sqref="B15:I15"/>
    </sheetView>
  </sheetViews>
  <sheetFormatPr defaultRowHeight="15" x14ac:dyDescent="0.25"/>
  <cols>
    <col min="1" max="1" width="13.7109375" customWidth="1"/>
    <col min="2" max="2" width="36.7109375" customWidth="1"/>
    <col min="3" max="6" width="11" customWidth="1"/>
    <col min="7" max="7" width="11.42578125" customWidth="1"/>
    <col min="8" max="9" width="11" customWidth="1"/>
  </cols>
  <sheetData>
    <row r="1" spans="1:9" ht="32.25" thickBot="1" x14ac:dyDescent="0.3">
      <c r="A1" s="51" t="s">
        <v>19</v>
      </c>
      <c r="B1" s="3" t="s">
        <v>2</v>
      </c>
      <c r="C1" s="99" t="s">
        <v>4</v>
      </c>
      <c r="D1" s="96" t="s">
        <v>5</v>
      </c>
      <c r="E1" s="97"/>
      <c r="F1" s="98"/>
      <c r="G1" s="99" t="s">
        <v>6</v>
      </c>
      <c r="H1" s="99" t="s">
        <v>7</v>
      </c>
      <c r="I1" s="99" t="s">
        <v>8</v>
      </c>
    </row>
    <row r="2" spans="1:9" ht="29.25" customHeight="1" thickBot="1" x14ac:dyDescent="0.3">
      <c r="A2" s="8" t="s">
        <v>46</v>
      </c>
      <c r="B2" s="4" t="s">
        <v>3</v>
      </c>
      <c r="C2" s="100"/>
      <c r="D2" s="6" t="s">
        <v>9</v>
      </c>
      <c r="E2" s="6" t="s">
        <v>10</v>
      </c>
      <c r="F2" s="6" t="s">
        <v>11</v>
      </c>
      <c r="G2" s="100"/>
      <c r="H2" s="100"/>
      <c r="I2" s="100"/>
    </row>
    <row r="3" spans="1:9" ht="20.25" customHeight="1" thickBot="1" x14ac:dyDescent="0.3">
      <c r="A3" s="99" t="s">
        <v>12</v>
      </c>
      <c r="B3" s="19" t="s">
        <v>21</v>
      </c>
      <c r="C3" s="20">
        <v>150</v>
      </c>
      <c r="D3" s="62">
        <f>6.22/200*C3</f>
        <v>4.665</v>
      </c>
      <c r="E3" s="20">
        <f>6.6/200*C3</f>
        <v>4.95</v>
      </c>
      <c r="F3" s="20">
        <f>31.2/200*C3</f>
        <v>23.4</v>
      </c>
      <c r="G3" s="20">
        <f>209/200*C3</f>
        <v>156.75</v>
      </c>
      <c r="H3" s="65">
        <f>1.38/200*C3</f>
        <v>1.0349999999999999</v>
      </c>
      <c r="I3" s="20">
        <v>230</v>
      </c>
    </row>
    <row r="4" spans="1:9" ht="18" customHeight="1" thickBot="1" x14ac:dyDescent="0.3">
      <c r="A4" s="101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8" customHeight="1" thickBot="1" x14ac:dyDescent="0.3">
      <c r="A5" s="100"/>
      <c r="B5" s="23" t="s">
        <v>70</v>
      </c>
      <c r="C5" s="20">
        <v>150</v>
      </c>
      <c r="D5" s="20">
        <f>2.8/200*C5</f>
        <v>2.0999999999999996</v>
      </c>
      <c r="E5" s="62">
        <f>2.5/200*C5</f>
        <v>1.875</v>
      </c>
      <c r="F5" s="20">
        <f>13.6/200*C5</f>
        <v>10.200000000000001</v>
      </c>
      <c r="G5" s="20">
        <f>88/200*C5</f>
        <v>66</v>
      </c>
      <c r="H5" s="62">
        <f>0.7/200*C5</f>
        <v>0.52499999999999991</v>
      </c>
      <c r="I5" s="20">
        <v>465</v>
      </c>
    </row>
    <row r="6" spans="1:9" ht="32.25" thickBot="1" x14ac:dyDescent="0.3">
      <c r="A6" s="8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5.75" customHeight="1" thickBot="1" x14ac:dyDescent="0.3">
      <c r="A7" s="101" t="s">
        <v>14</v>
      </c>
      <c r="B7" s="47" t="s">
        <v>41</v>
      </c>
      <c r="C7" s="48">
        <v>40</v>
      </c>
      <c r="D7" s="48">
        <f>0.84/60*C7</f>
        <v>0.56000000000000005</v>
      </c>
      <c r="E7" s="48">
        <f>3.66/60*C7</f>
        <v>2.4400000000000004</v>
      </c>
      <c r="F7" s="48">
        <f>4.56/60*C7</f>
        <v>3.04</v>
      </c>
      <c r="G7" s="48">
        <f>54.6/60*C7</f>
        <v>36.4</v>
      </c>
      <c r="H7" s="48">
        <f>4.62/60*C7</f>
        <v>3.08</v>
      </c>
      <c r="I7" s="53" t="s">
        <v>159</v>
      </c>
    </row>
    <row r="8" spans="1:9" ht="18" customHeight="1" thickBot="1" x14ac:dyDescent="0.3">
      <c r="A8" s="101"/>
      <c r="B8" s="10" t="s">
        <v>79</v>
      </c>
      <c r="C8" s="7">
        <v>150</v>
      </c>
      <c r="D8" s="66">
        <f>1.86/200*C8</f>
        <v>1.3950000000000002</v>
      </c>
      <c r="E8" s="66">
        <f>3.78/200*C8</f>
        <v>2.835</v>
      </c>
      <c r="F8" s="66">
        <f>8.26/200*C8</f>
        <v>6.1949999999999994</v>
      </c>
      <c r="G8" s="66">
        <f>105.2/200*C8</f>
        <v>78.900000000000006</v>
      </c>
      <c r="H8" s="66">
        <f>6.32/200*C8</f>
        <v>4.74</v>
      </c>
      <c r="I8" s="7">
        <v>98</v>
      </c>
    </row>
    <row r="9" spans="1:9" ht="18" customHeight="1" thickBot="1" x14ac:dyDescent="0.3">
      <c r="A9" s="101"/>
      <c r="B9" s="10" t="s">
        <v>157</v>
      </c>
      <c r="C9" s="7">
        <v>60</v>
      </c>
      <c r="D9" s="66">
        <f>9/70*C9</f>
        <v>7.7142857142857135</v>
      </c>
      <c r="E9" s="66">
        <f>1.1/70*C9</f>
        <v>0.94285714285714295</v>
      </c>
      <c r="F9" s="66">
        <f>7/70*C9</f>
        <v>6</v>
      </c>
      <c r="G9" s="66">
        <f>74/70*C9</f>
        <v>63.428571428571431</v>
      </c>
      <c r="H9" s="7">
        <v>0</v>
      </c>
      <c r="I9" s="7">
        <v>307</v>
      </c>
    </row>
    <row r="10" spans="1:9" ht="16.5" thickBot="1" x14ac:dyDescent="0.3">
      <c r="A10" s="101"/>
      <c r="B10" s="9" t="s">
        <v>80</v>
      </c>
      <c r="C10" s="7">
        <v>120</v>
      </c>
      <c r="D10" s="66">
        <f>3.72/150*C10</f>
        <v>2.9760000000000004</v>
      </c>
      <c r="E10" s="66">
        <f>4.87/150*C10</f>
        <v>3.8959999999999999</v>
      </c>
      <c r="F10" s="66">
        <f>38.11/150*C10</f>
        <v>30.488</v>
      </c>
      <c r="G10" s="66">
        <f>211.2/150*C10</f>
        <v>168.95999999999998</v>
      </c>
      <c r="H10" s="7">
        <v>0</v>
      </c>
      <c r="I10" s="7">
        <v>205</v>
      </c>
    </row>
    <row r="11" spans="1:9" ht="18" customHeight="1" thickBot="1" x14ac:dyDescent="0.3">
      <c r="A11" s="101"/>
      <c r="B11" s="19" t="s">
        <v>93</v>
      </c>
      <c r="C11" s="20">
        <v>20</v>
      </c>
      <c r="D11" s="20">
        <f>3.33/30*C11</f>
        <v>2.2200000000000002</v>
      </c>
      <c r="E11" s="62">
        <f>6.19/30*C11</f>
        <v>4.1266666666666669</v>
      </c>
      <c r="F11" s="62">
        <f>6.37/30*C11</f>
        <v>4.246666666666667</v>
      </c>
      <c r="G11" s="62">
        <f>9.45/30*C11</f>
        <v>6.3</v>
      </c>
      <c r="H11" s="62">
        <f>0.65/30*C11</f>
        <v>0.43333333333333335</v>
      </c>
      <c r="I11" s="20">
        <v>403</v>
      </c>
    </row>
    <row r="12" spans="1:9" ht="18" customHeight="1" thickBot="1" x14ac:dyDescent="0.3">
      <c r="A12" s="101"/>
      <c r="B12" s="19" t="s">
        <v>73</v>
      </c>
      <c r="C12" s="20">
        <v>150</v>
      </c>
      <c r="D12" s="62">
        <f>0.2/200*C12</f>
        <v>0.15</v>
      </c>
      <c r="E12" s="62">
        <f>0.1/200*C12</f>
        <v>7.4999999999999997E-2</v>
      </c>
      <c r="F12" s="62">
        <f>10.7/200*C12</f>
        <v>8.0250000000000004</v>
      </c>
      <c r="G12" s="62">
        <f>44/200*C12</f>
        <v>33</v>
      </c>
      <c r="H12" s="62">
        <f>16.5/200*C12</f>
        <v>12.375</v>
      </c>
      <c r="I12" s="20">
        <v>491</v>
      </c>
    </row>
    <row r="13" spans="1:9" ht="18" customHeight="1" thickBot="1" x14ac:dyDescent="0.3">
      <c r="A13" s="101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8" customHeight="1" thickBot="1" x14ac:dyDescent="0.3">
      <c r="A14" s="100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8.75" customHeight="1" thickBot="1" x14ac:dyDescent="0.3">
      <c r="A15" s="99" t="s">
        <v>17</v>
      </c>
      <c r="B15" s="25" t="s">
        <v>110</v>
      </c>
      <c r="C15" s="26">
        <v>150</v>
      </c>
      <c r="D15" s="26">
        <f>0.6/200*C15</f>
        <v>0.45</v>
      </c>
      <c r="E15" s="64">
        <f>0.1/200*C15</f>
        <v>7.4999999999999997E-2</v>
      </c>
      <c r="F15" s="64">
        <f>20.1/200*C15</f>
        <v>15.075000000000001</v>
      </c>
      <c r="G15" s="26">
        <f>84/200*C15</f>
        <v>63</v>
      </c>
      <c r="H15" s="26">
        <f>0.2/200*C15</f>
        <v>0.15</v>
      </c>
      <c r="I15" s="26">
        <v>495</v>
      </c>
    </row>
    <row r="16" spans="1:9" ht="18" customHeight="1" thickBot="1" x14ac:dyDescent="0.3">
      <c r="A16" s="100"/>
      <c r="B16" s="19" t="s">
        <v>190</v>
      </c>
      <c r="C16" s="20">
        <v>40</v>
      </c>
      <c r="D16" s="20">
        <f>2/40*C16</f>
        <v>2</v>
      </c>
      <c r="E16" s="20">
        <f>1.8/40*C16</f>
        <v>1.7999999999999998</v>
      </c>
      <c r="F16" s="20">
        <f>28.4/40*C16</f>
        <v>28.4</v>
      </c>
      <c r="G16" s="20">
        <f>132/40*C16</f>
        <v>132</v>
      </c>
      <c r="H16" s="20">
        <v>0</v>
      </c>
      <c r="I16" s="20">
        <v>581</v>
      </c>
    </row>
    <row r="17" spans="1:9" ht="18" customHeight="1" thickBot="1" x14ac:dyDescent="0.3">
      <c r="A17" s="99" t="s">
        <v>18</v>
      </c>
      <c r="B17" s="19" t="s">
        <v>202</v>
      </c>
      <c r="C17" s="20">
        <v>120</v>
      </c>
      <c r="D17" s="20">
        <f>23.7/150*C17</f>
        <v>18.96</v>
      </c>
      <c r="E17" s="20">
        <f>7.9/150*C17</f>
        <v>6.32</v>
      </c>
      <c r="F17" s="20">
        <f>26.8/150*C17</f>
        <v>21.44</v>
      </c>
      <c r="G17" s="20">
        <f>272/150*C17</f>
        <v>217.6</v>
      </c>
      <c r="H17" s="20">
        <f>0.3/150*C17</f>
        <v>0.24</v>
      </c>
      <c r="I17" s="20">
        <v>268</v>
      </c>
    </row>
    <row r="18" spans="1:9" ht="18" customHeight="1" thickBot="1" x14ac:dyDescent="0.3">
      <c r="A18" s="101"/>
      <c r="B18" s="19" t="s">
        <v>127</v>
      </c>
      <c r="C18" s="20">
        <v>15</v>
      </c>
      <c r="D18" s="20">
        <f>1.44/20*15</f>
        <v>1.0799999999999998</v>
      </c>
      <c r="E18" s="62">
        <f>1.7/20*15</f>
        <v>1.2749999999999999</v>
      </c>
      <c r="F18" s="62">
        <f>11.1/20*15</f>
        <v>8.3249999999999993</v>
      </c>
      <c r="G18" s="20">
        <f>65.4/20*15</f>
        <v>49.050000000000004</v>
      </c>
      <c r="H18" s="20">
        <f>0.2/20*15</f>
        <v>0.15</v>
      </c>
      <c r="I18" s="20">
        <v>472</v>
      </c>
    </row>
    <row r="19" spans="1:9" ht="18" customHeight="1" thickBot="1" x14ac:dyDescent="0.3">
      <c r="A19" s="101"/>
      <c r="B19" s="19" t="s">
        <v>69</v>
      </c>
      <c r="C19" s="20">
        <v>150</v>
      </c>
      <c r="D19" s="62">
        <f>0.3/200*150</f>
        <v>0.22500000000000001</v>
      </c>
      <c r="E19" s="62">
        <f>0.1/200*150</f>
        <v>7.4999999999999997E-2</v>
      </c>
      <c r="F19" s="62">
        <f>9.5/200*150</f>
        <v>7.125</v>
      </c>
      <c r="G19" s="62">
        <f>40/200*150</f>
        <v>30</v>
      </c>
      <c r="H19" s="62">
        <f>1/200*150</f>
        <v>0.75</v>
      </c>
      <c r="I19" s="20" t="s">
        <v>128</v>
      </c>
    </row>
    <row r="20" spans="1:9" ht="18" customHeight="1" thickBot="1" x14ac:dyDescent="0.3">
      <c r="A20" s="101"/>
      <c r="B20" s="19" t="s">
        <v>158</v>
      </c>
      <c r="C20" s="7">
        <v>100</v>
      </c>
      <c r="D20" s="7">
        <v>0.4</v>
      </c>
      <c r="E20" s="7">
        <v>0.4</v>
      </c>
      <c r="F20" s="7">
        <v>9.8000000000000007</v>
      </c>
      <c r="G20" s="7">
        <v>44</v>
      </c>
      <c r="H20" s="7">
        <v>7</v>
      </c>
      <c r="I20" s="7">
        <v>82</v>
      </c>
    </row>
    <row r="21" spans="1:9" ht="18" customHeight="1" thickBot="1" x14ac:dyDescent="0.3">
      <c r="A21" s="101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8" customHeight="1" thickBot="1" x14ac:dyDescent="0.3">
      <c r="A22" s="100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x14ac:dyDescent="0.25">
      <c r="A23" s="99" t="s">
        <v>47</v>
      </c>
      <c r="B23" s="117"/>
      <c r="C23" s="99">
        <f t="shared" ref="C23:H23" si="0">SUM(C3:C22)</f>
        <v>1620</v>
      </c>
      <c r="D23" s="108">
        <f t="shared" si="0"/>
        <v>52.716366795366795</v>
      </c>
      <c r="E23" s="108">
        <f t="shared" si="0"/>
        <v>39.537956241956238</v>
      </c>
      <c r="F23" s="108">
        <f t="shared" si="0"/>
        <v>234.23642342342345</v>
      </c>
      <c r="G23" s="108">
        <f t="shared" si="0"/>
        <v>1460.3074903474901</v>
      </c>
      <c r="H23" s="108">
        <f t="shared" si="0"/>
        <v>32.478333333333325</v>
      </c>
      <c r="I23" s="99"/>
    </row>
    <row r="24" spans="1:9" x14ac:dyDescent="0.25">
      <c r="A24" s="101"/>
      <c r="B24" s="118"/>
      <c r="C24" s="101"/>
      <c r="D24" s="109"/>
      <c r="E24" s="109"/>
      <c r="F24" s="109"/>
      <c r="G24" s="109"/>
      <c r="H24" s="109"/>
      <c r="I24" s="101"/>
    </row>
    <row r="25" spans="1:9" x14ac:dyDescent="0.25">
      <c r="A25" s="101"/>
      <c r="B25" s="118"/>
      <c r="C25" s="101"/>
      <c r="D25" s="109"/>
      <c r="E25" s="109"/>
      <c r="F25" s="109"/>
      <c r="G25" s="109"/>
      <c r="H25" s="109"/>
      <c r="I25" s="101"/>
    </row>
    <row r="26" spans="1:9" ht="3" customHeight="1" thickBot="1" x14ac:dyDescent="0.3">
      <c r="A26" s="100"/>
      <c r="B26" s="119"/>
      <c r="C26" s="100"/>
      <c r="D26" s="110"/>
      <c r="E26" s="110"/>
      <c r="F26" s="110"/>
      <c r="G26" s="110"/>
      <c r="H26" s="110"/>
      <c r="I26" s="100"/>
    </row>
  </sheetData>
  <mergeCells count="18">
    <mergeCell ref="A3:A5"/>
    <mergeCell ref="A7:A14"/>
    <mergeCell ref="A15:A16"/>
    <mergeCell ref="A17:A22"/>
    <mergeCell ref="I1:I2"/>
    <mergeCell ref="C1:C2"/>
    <mergeCell ref="D1:F1"/>
    <mergeCell ref="G1:G2"/>
    <mergeCell ref="H1:H2"/>
    <mergeCell ref="F23:F26"/>
    <mergeCell ref="G23:G26"/>
    <mergeCell ref="H23:H26"/>
    <mergeCell ref="I23:I26"/>
    <mergeCell ref="A23:A26"/>
    <mergeCell ref="B23:B26"/>
    <mergeCell ref="C23:C26"/>
    <mergeCell ref="D23:D26"/>
    <mergeCell ref="E23:E2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8" sqref="C8"/>
    </sheetView>
  </sheetViews>
  <sheetFormatPr defaultRowHeight="15" x14ac:dyDescent="0.25"/>
  <cols>
    <col min="1" max="1" width="12.140625" customWidth="1"/>
    <col min="2" max="2" width="33.42578125" customWidth="1"/>
    <col min="3" max="6" width="10.85546875" customWidth="1"/>
    <col min="7" max="7" width="11.7109375" customWidth="1"/>
    <col min="8" max="8" width="11.85546875" customWidth="1"/>
    <col min="9" max="9" width="10.85546875" customWidth="1"/>
  </cols>
  <sheetData>
    <row r="1" spans="1:9" ht="33" customHeight="1" thickBot="1" x14ac:dyDescent="0.3">
      <c r="A1" s="40" t="s">
        <v>19</v>
      </c>
      <c r="B1" s="44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29.25" customHeight="1" thickBot="1" x14ac:dyDescent="0.3">
      <c r="A2" s="45" t="s">
        <v>48</v>
      </c>
      <c r="B2" s="45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" customHeight="1" thickBot="1" x14ac:dyDescent="0.3">
      <c r="A3" s="76" t="s">
        <v>12</v>
      </c>
      <c r="B3" s="25" t="s">
        <v>138</v>
      </c>
      <c r="C3" s="26">
        <v>150</v>
      </c>
      <c r="D3" s="26">
        <f>8.4/200*C3</f>
        <v>6.3000000000000007</v>
      </c>
      <c r="E3" s="26">
        <f>6.6/200*C3</f>
        <v>4.95</v>
      </c>
      <c r="F3" s="26">
        <f>37.8/200*C3</f>
        <v>28.349999999999994</v>
      </c>
      <c r="G3" s="26">
        <f>245.4/200*C3</f>
        <v>184.05</v>
      </c>
      <c r="H3" s="26">
        <f>1.24/200*C3</f>
        <v>0.92999999999999994</v>
      </c>
      <c r="I3" s="26">
        <v>223</v>
      </c>
    </row>
    <row r="4" spans="1:9" ht="17.25" thickBot="1" x14ac:dyDescent="0.3">
      <c r="A4" s="87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8" customHeight="1" thickBot="1" x14ac:dyDescent="0.3">
      <c r="A5" s="77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7">
        <f>0.3/200*C5</f>
        <v>0.22500000000000001</v>
      </c>
      <c r="I5" s="7">
        <v>460</v>
      </c>
    </row>
    <row r="6" spans="1:9" ht="33.75" thickBot="1" x14ac:dyDescent="0.3">
      <c r="A6" s="5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76" t="s">
        <v>14</v>
      </c>
      <c r="B7" s="25" t="s">
        <v>98</v>
      </c>
      <c r="C7" s="26">
        <v>30</v>
      </c>
      <c r="D7" s="26">
        <f>0.48/60*C7</f>
        <v>0.24</v>
      </c>
      <c r="E7" s="26">
        <f>0.06/60*C7</f>
        <v>0.03</v>
      </c>
      <c r="F7" s="26">
        <f>1.02/60*C7</f>
        <v>0.51</v>
      </c>
      <c r="G7" s="26">
        <f>6.6/60*C7</f>
        <v>3.3</v>
      </c>
      <c r="H7" s="26">
        <f>1.5/60*C7</f>
        <v>0.75</v>
      </c>
      <c r="I7" s="26">
        <v>149</v>
      </c>
    </row>
    <row r="8" spans="1:9" ht="18" customHeight="1" thickBot="1" x14ac:dyDescent="0.3">
      <c r="A8" s="87"/>
      <c r="B8" s="25" t="s">
        <v>163</v>
      </c>
      <c r="C8" s="34">
        <v>150</v>
      </c>
      <c r="D8" s="34">
        <f>6.36/200*C8</f>
        <v>4.7700000000000005</v>
      </c>
      <c r="E8" s="34">
        <f>33.84/200*C8</f>
        <v>25.380000000000003</v>
      </c>
      <c r="F8" s="72">
        <f>43.9/200*C8</f>
        <v>32.924999999999997</v>
      </c>
      <c r="G8" s="34">
        <f>132.2/200*C8</f>
        <v>99.149999999999991</v>
      </c>
      <c r="H8" s="34">
        <f>0.52/200*C8</f>
        <v>0.38999999999999996</v>
      </c>
      <c r="I8" s="34">
        <v>109</v>
      </c>
    </row>
    <row r="9" spans="1:9" ht="18" customHeight="1" thickBot="1" x14ac:dyDescent="0.3">
      <c r="A9" s="87"/>
      <c r="B9" s="46" t="s">
        <v>160</v>
      </c>
      <c r="C9" s="20">
        <v>150</v>
      </c>
      <c r="D9" s="20">
        <f>15.4/200*C9</f>
        <v>11.55</v>
      </c>
      <c r="E9" s="20">
        <f>2.6/200*C9</f>
        <v>1.9500000000000002</v>
      </c>
      <c r="F9" s="62">
        <f>14.5/200*C9</f>
        <v>10.875</v>
      </c>
      <c r="G9" s="20">
        <f>144/200*C9</f>
        <v>108</v>
      </c>
      <c r="H9" s="20">
        <f>19/200*C9</f>
        <v>14.25</v>
      </c>
      <c r="I9" s="20">
        <v>362</v>
      </c>
    </row>
    <row r="10" spans="1:9" ht="18" customHeight="1" thickBot="1" x14ac:dyDescent="0.3">
      <c r="A10" s="87"/>
      <c r="B10" s="19" t="s">
        <v>42</v>
      </c>
      <c r="C10" s="20">
        <v>150</v>
      </c>
      <c r="D10" s="62">
        <f>0.67/200*C10</f>
        <v>0.50250000000000006</v>
      </c>
      <c r="E10" s="62">
        <f>0.27/200*C10</f>
        <v>0.20250000000000001</v>
      </c>
      <c r="F10" s="62">
        <f>18.3/200*C10</f>
        <v>13.725</v>
      </c>
      <c r="G10" s="62">
        <f>78/200*C10</f>
        <v>58.5</v>
      </c>
      <c r="H10" s="62">
        <f>80/200*C10</f>
        <v>60</v>
      </c>
      <c r="I10" s="20">
        <v>496</v>
      </c>
    </row>
    <row r="11" spans="1:9" ht="18" customHeight="1" thickBot="1" x14ac:dyDescent="0.3">
      <c r="A11" s="87"/>
      <c r="B11" s="9" t="s">
        <v>15</v>
      </c>
      <c r="C11" s="20">
        <v>20</v>
      </c>
      <c r="D11" s="20">
        <f>2.28/30*C11</f>
        <v>1.52</v>
      </c>
      <c r="E11" s="20">
        <f>0.24/30*C11</f>
        <v>0.16</v>
      </c>
      <c r="F11" s="20">
        <f>14.76/30*C11</f>
        <v>9.84</v>
      </c>
      <c r="G11" s="20">
        <f>70.2/30*C11</f>
        <v>46.800000000000004</v>
      </c>
      <c r="H11" s="20">
        <v>0</v>
      </c>
      <c r="I11" s="20">
        <v>573</v>
      </c>
    </row>
    <row r="12" spans="1:9" ht="18" customHeight="1" thickBot="1" x14ac:dyDescent="0.3">
      <c r="A12" s="87"/>
      <c r="B12" s="9" t="s">
        <v>16</v>
      </c>
      <c r="C12" s="20">
        <v>20</v>
      </c>
      <c r="D12" s="20">
        <f>2.4/30*C12</f>
        <v>1.6</v>
      </c>
      <c r="E12" s="20">
        <f>0.45/30*C12</f>
        <v>0.30000000000000004</v>
      </c>
      <c r="F12" s="20">
        <f>12.03/30*C12</f>
        <v>8.02</v>
      </c>
      <c r="G12" s="20">
        <f>61.8/30*C12</f>
        <v>41.2</v>
      </c>
      <c r="H12" s="20">
        <v>0</v>
      </c>
      <c r="I12" s="20">
        <v>574</v>
      </c>
    </row>
    <row r="13" spans="1:9" ht="18" customHeight="1" thickBot="1" x14ac:dyDescent="0.3">
      <c r="A13" s="76" t="s">
        <v>17</v>
      </c>
      <c r="B13" s="19" t="s">
        <v>118</v>
      </c>
      <c r="C13" s="20">
        <v>150</v>
      </c>
      <c r="D13" s="62">
        <f>5.8/200*C13</f>
        <v>4.3499999999999996</v>
      </c>
      <c r="E13" s="62">
        <f>5.3/200*C13</f>
        <v>3.9750000000000001</v>
      </c>
      <c r="F13" s="62">
        <f>9.1/200*C13</f>
        <v>6.8250000000000002</v>
      </c>
      <c r="G13" s="62">
        <f>108/200*C13</f>
        <v>81</v>
      </c>
      <c r="H13" s="62">
        <f>1.4/200*C13</f>
        <v>1.0499999999999998</v>
      </c>
      <c r="I13" s="20">
        <v>469</v>
      </c>
    </row>
    <row r="14" spans="1:9" ht="18" customHeight="1" thickBot="1" x14ac:dyDescent="0.3">
      <c r="A14" s="77"/>
      <c r="B14" s="25" t="s">
        <v>164</v>
      </c>
      <c r="C14" s="34">
        <v>50</v>
      </c>
      <c r="D14" s="34">
        <f>7.8/60*C14</f>
        <v>6.5</v>
      </c>
      <c r="E14" s="72">
        <f>2.8/60*C14</f>
        <v>2.333333333333333</v>
      </c>
      <c r="F14" s="72">
        <f>21.7/60*C14</f>
        <v>18.083333333333332</v>
      </c>
      <c r="G14" s="34">
        <f>263.4/60*C14</f>
        <v>219.49999999999997</v>
      </c>
      <c r="H14" s="34">
        <v>0</v>
      </c>
      <c r="I14" s="34">
        <v>531</v>
      </c>
    </row>
    <row r="15" spans="1:9" ht="19.5" customHeight="1" thickBot="1" x14ac:dyDescent="0.3">
      <c r="A15" s="76" t="s">
        <v>18</v>
      </c>
      <c r="B15" s="46" t="s">
        <v>162</v>
      </c>
      <c r="C15" s="20">
        <v>150</v>
      </c>
      <c r="D15" s="62">
        <f>12/170*C15</f>
        <v>10.588235294117647</v>
      </c>
      <c r="E15" s="62">
        <f>10/170*C15</f>
        <v>8.8235294117647065</v>
      </c>
      <c r="F15" s="62">
        <f>35.3/170*C15</f>
        <v>31.147058823529409</v>
      </c>
      <c r="G15" s="62">
        <f>280/170*C15</f>
        <v>247.05882352941174</v>
      </c>
      <c r="H15" s="62">
        <f>0.2/170*C15</f>
        <v>0.17647058823529413</v>
      </c>
      <c r="I15" s="20">
        <v>259</v>
      </c>
    </row>
    <row r="16" spans="1:9" ht="18" customHeight="1" thickBot="1" x14ac:dyDescent="0.3">
      <c r="A16" s="87"/>
      <c r="B16" s="19" t="s">
        <v>76</v>
      </c>
      <c r="C16" s="20">
        <v>150</v>
      </c>
      <c r="D16" s="62">
        <f>0.3/200*C16</f>
        <v>0.22500000000000001</v>
      </c>
      <c r="E16" s="62">
        <f>0.1/200*C16</f>
        <v>7.4999999999999997E-2</v>
      </c>
      <c r="F16" s="62">
        <f>9.5/200*C16</f>
        <v>7.125</v>
      </c>
      <c r="G16" s="62">
        <f>49.2/200*C16</f>
        <v>36.900000000000006</v>
      </c>
      <c r="H16" s="62">
        <f>1/200*C16</f>
        <v>0.75</v>
      </c>
      <c r="I16" s="20">
        <v>459</v>
      </c>
    </row>
    <row r="17" spans="1:9" ht="18" customHeight="1" thickBot="1" x14ac:dyDescent="0.3">
      <c r="A17" s="87"/>
      <c r="B17" s="19" t="s">
        <v>158</v>
      </c>
      <c r="C17" s="20">
        <v>100</v>
      </c>
      <c r="D17" s="20">
        <v>0.4</v>
      </c>
      <c r="E17" s="20">
        <v>0.4</v>
      </c>
      <c r="F17" s="20">
        <v>9.8000000000000007</v>
      </c>
      <c r="G17" s="20">
        <v>44</v>
      </c>
      <c r="H17" s="20">
        <v>7</v>
      </c>
      <c r="I17" s="20">
        <v>82</v>
      </c>
    </row>
    <row r="18" spans="1:9" ht="18" customHeight="1" thickBot="1" x14ac:dyDescent="0.3">
      <c r="A18" s="87"/>
      <c r="B18" s="9" t="s">
        <v>15</v>
      </c>
      <c r="C18" s="20">
        <v>20</v>
      </c>
      <c r="D18" s="20">
        <f>2.28/30*C18</f>
        <v>1.52</v>
      </c>
      <c r="E18" s="20">
        <f>0.24/30*C18</f>
        <v>0.16</v>
      </c>
      <c r="F18" s="20">
        <f>14.76/30*C18</f>
        <v>9.84</v>
      </c>
      <c r="G18" s="20">
        <f>70.2/30*C18</f>
        <v>46.800000000000004</v>
      </c>
      <c r="H18" s="20">
        <v>0</v>
      </c>
      <c r="I18" s="20">
        <v>573</v>
      </c>
    </row>
    <row r="19" spans="1:9" ht="18" customHeight="1" thickBot="1" x14ac:dyDescent="0.3">
      <c r="A19" s="87"/>
      <c r="B19" s="9" t="s">
        <v>16</v>
      </c>
      <c r="C19" s="20">
        <v>20</v>
      </c>
      <c r="D19" s="20">
        <f>2.4/30*C19</f>
        <v>1.6</v>
      </c>
      <c r="E19" s="20">
        <f>0.45/30*C19</f>
        <v>0.30000000000000004</v>
      </c>
      <c r="F19" s="20">
        <f>12.03/30*C19</f>
        <v>8.02</v>
      </c>
      <c r="G19" s="20">
        <f>61.8/30*C19</f>
        <v>41.2</v>
      </c>
      <c r="H19" s="20">
        <v>0</v>
      </c>
      <c r="I19" s="20">
        <v>574</v>
      </c>
    </row>
    <row r="20" spans="1:9" ht="16.5" customHeight="1" x14ac:dyDescent="0.25">
      <c r="A20" s="76" t="s">
        <v>49</v>
      </c>
      <c r="B20" s="81"/>
      <c r="C20" s="76">
        <f t="shared" ref="C20:H20" si="0">SUM(C3:C19)</f>
        <v>1585</v>
      </c>
      <c r="D20" s="84">
        <f t="shared" si="0"/>
        <v>54.446816375198736</v>
      </c>
      <c r="E20" s="84">
        <f t="shared" si="0"/>
        <v>57.546795177530477</v>
      </c>
      <c r="F20" s="84">
        <f t="shared" si="0"/>
        <v>220.46714891361952</v>
      </c>
      <c r="G20" s="84">
        <f>SUM(G3:G19)</f>
        <v>1459.3777424483308</v>
      </c>
      <c r="H20" s="84">
        <f t="shared" si="0"/>
        <v>87.521470588235289</v>
      </c>
      <c r="I20" s="81"/>
    </row>
    <row r="21" spans="1:9" ht="15" customHeight="1" thickBot="1" x14ac:dyDescent="0.3">
      <c r="A21" s="77"/>
      <c r="B21" s="83"/>
      <c r="C21" s="77"/>
      <c r="D21" s="86"/>
      <c r="E21" s="86"/>
      <c r="F21" s="86"/>
      <c r="G21" s="86"/>
      <c r="H21" s="86"/>
      <c r="I21" s="83"/>
    </row>
  </sheetData>
  <mergeCells count="18">
    <mergeCell ref="G1:G2"/>
    <mergeCell ref="H1:H2"/>
    <mergeCell ref="I1:I2"/>
    <mergeCell ref="A13:A14"/>
    <mergeCell ref="A3:A5"/>
    <mergeCell ref="A7:A12"/>
    <mergeCell ref="C1:C2"/>
    <mergeCell ref="D1:F1"/>
    <mergeCell ref="G20:G21"/>
    <mergeCell ref="H20:H21"/>
    <mergeCell ref="I20:I21"/>
    <mergeCell ref="A15:A19"/>
    <mergeCell ref="A20:A21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1" sqref="C11"/>
    </sheetView>
  </sheetViews>
  <sheetFormatPr defaultRowHeight="15" x14ac:dyDescent="0.25"/>
  <cols>
    <col min="1" max="1" width="12.5703125" customWidth="1"/>
    <col min="2" max="2" width="40" customWidth="1"/>
    <col min="3" max="9" width="10.7109375" customWidth="1"/>
  </cols>
  <sheetData>
    <row r="1" spans="1:9" ht="32.25" thickBot="1" x14ac:dyDescent="0.3">
      <c r="A1" s="51" t="s">
        <v>0</v>
      </c>
      <c r="B1" s="5" t="s">
        <v>2</v>
      </c>
      <c r="C1" s="99" t="s">
        <v>4</v>
      </c>
      <c r="D1" s="96" t="s">
        <v>5</v>
      </c>
      <c r="E1" s="97"/>
      <c r="F1" s="98"/>
      <c r="G1" s="99" t="s">
        <v>6</v>
      </c>
      <c r="H1" s="99" t="s">
        <v>7</v>
      </c>
      <c r="I1" s="99" t="s">
        <v>8</v>
      </c>
    </row>
    <row r="2" spans="1:9" ht="34.5" customHeight="1" thickBot="1" x14ac:dyDescent="0.3">
      <c r="A2" s="8" t="s">
        <v>50</v>
      </c>
      <c r="B2" s="6" t="s">
        <v>3</v>
      </c>
      <c r="C2" s="100"/>
      <c r="D2" s="6" t="s">
        <v>9</v>
      </c>
      <c r="E2" s="6" t="s">
        <v>10</v>
      </c>
      <c r="F2" s="6" t="s">
        <v>11</v>
      </c>
      <c r="G2" s="100"/>
      <c r="H2" s="100"/>
      <c r="I2" s="100"/>
    </row>
    <row r="3" spans="1:9" ht="15.75" customHeight="1" thickBot="1" x14ac:dyDescent="0.3">
      <c r="A3" s="99" t="s">
        <v>24</v>
      </c>
      <c r="B3" s="49" t="s">
        <v>167</v>
      </c>
      <c r="C3" s="48">
        <v>150</v>
      </c>
      <c r="D3" s="48">
        <f>5.76/200*C3</f>
        <v>4.32</v>
      </c>
      <c r="E3" s="48">
        <f>6.48/200*C3</f>
        <v>4.8600000000000012</v>
      </c>
      <c r="F3" s="75">
        <f>19.7/200*C3</f>
        <v>14.774999999999999</v>
      </c>
      <c r="G3" s="75">
        <f>160.2/200*C3</f>
        <v>120.14999999999999</v>
      </c>
      <c r="H3" s="75">
        <f>0.9/200*C3</f>
        <v>0.67500000000000004</v>
      </c>
      <c r="I3" s="53">
        <v>139</v>
      </c>
    </row>
    <row r="4" spans="1:9" ht="18" customHeight="1" thickBot="1" x14ac:dyDescent="0.3">
      <c r="A4" s="101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8" customHeight="1" thickBot="1" x14ac:dyDescent="0.3">
      <c r="A5" s="100"/>
      <c r="B5" s="19" t="s">
        <v>67</v>
      </c>
      <c r="C5" s="21">
        <v>150</v>
      </c>
      <c r="D5" s="62">
        <f>3.3/200*C5</f>
        <v>2.4750000000000001</v>
      </c>
      <c r="E5" s="62">
        <f>2.9/200*C5</f>
        <v>2.1749999999999998</v>
      </c>
      <c r="F5" s="62">
        <f>13.8/200*C5</f>
        <v>10.350000000000001</v>
      </c>
      <c r="G5" s="62">
        <f>94/200*C5</f>
        <v>70.5</v>
      </c>
      <c r="H5" s="62">
        <f>0.7/200*C5</f>
        <v>0.52499999999999991</v>
      </c>
      <c r="I5" s="20">
        <v>462</v>
      </c>
    </row>
    <row r="6" spans="1:9" ht="32.25" thickBot="1" x14ac:dyDescent="0.3">
      <c r="A6" s="8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5.75" customHeight="1" thickBot="1" x14ac:dyDescent="0.3">
      <c r="A7" s="101" t="s">
        <v>14</v>
      </c>
      <c r="B7" s="47" t="s">
        <v>172</v>
      </c>
      <c r="C7" s="48">
        <v>40</v>
      </c>
      <c r="D7" s="75">
        <f>1.3/60*C7</f>
        <v>0.8666666666666667</v>
      </c>
      <c r="E7" s="75">
        <f>6.1/60*C7</f>
        <v>4.0666666666666664</v>
      </c>
      <c r="F7" s="75">
        <f>6.2/60*C7</f>
        <v>4.1333333333333329</v>
      </c>
      <c r="G7" s="75">
        <f>41.2/60*C7</f>
        <v>27.466666666666669</v>
      </c>
      <c r="H7" s="75">
        <f>4.7/60*C7</f>
        <v>3.1333333333333337</v>
      </c>
      <c r="I7" s="48" t="s">
        <v>145</v>
      </c>
    </row>
    <row r="8" spans="1:9" ht="18" customHeight="1" thickBot="1" x14ac:dyDescent="0.3">
      <c r="A8" s="101"/>
      <c r="B8" s="9" t="s">
        <v>168</v>
      </c>
      <c r="C8" s="7">
        <v>150</v>
      </c>
      <c r="D8" s="7">
        <f>1.6/200*C8</f>
        <v>1.2</v>
      </c>
      <c r="E8" s="7">
        <f>3.62/200*C8</f>
        <v>2.7150000000000003</v>
      </c>
      <c r="F8" s="7">
        <f>5.06/200*C8</f>
        <v>3.7949999999999999</v>
      </c>
      <c r="G8" s="7">
        <f>79.2/200*C8</f>
        <v>59.400000000000006</v>
      </c>
      <c r="H8" s="7">
        <f>5.8/200*C8</f>
        <v>4.3499999999999996</v>
      </c>
      <c r="I8" s="7">
        <v>116</v>
      </c>
    </row>
    <row r="9" spans="1:9" ht="18" customHeight="1" thickBot="1" x14ac:dyDescent="0.3">
      <c r="A9" s="101"/>
      <c r="B9" s="9" t="s">
        <v>169</v>
      </c>
      <c r="C9" s="7">
        <v>60</v>
      </c>
      <c r="D9" s="66">
        <f>6/70*C9</f>
        <v>5.1428571428571432</v>
      </c>
      <c r="E9" s="66">
        <f>18/70*C9</f>
        <v>15.428571428571427</v>
      </c>
      <c r="F9" s="66">
        <f>15.2/70*C9</f>
        <v>13.028571428571428</v>
      </c>
      <c r="G9" s="66">
        <f>247/70*C9</f>
        <v>211.71428571428572</v>
      </c>
      <c r="H9" s="66">
        <f>3.4/70*C9</f>
        <v>2.9142857142857141</v>
      </c>
      <c r="I9" s="7">
        <v>319</v>
      </c>
    </row>
    <row r="10" spans="1:9" ht="18" customHeight="1" thickBot="1" x14ac:dyDescent="0.3">
      <c r="A10" s="101"/>
      <c r="B10" s="33" t="s">
        <v>27</v>
      </c>
      <c r="C10" s="20">
        <v>120</v>
      </c>
      <c r="D10" s="20">
        <f>8.85/150*C10</f>
        <v>7.08</v>
      </c>
      <c r="E10" s="20">
        <f>6.61/150*C10</f>
        <v>5.2880000000000003</v>
      </c>
      <c r="F10" s="20">
        <f>39.2/150*C10</f>
        <v>31.360000000000003</v>
      </c>
      <c r="G10" s="20">
        <f>251.8/150*C10</f>
        <v>201.44</v>
      </c>
      <c r="H10" s="20">
        <v>0</v>
      </c>
      <c r="I10" s="20">
        <v>202</v>
      </c>
    </row>
    <row r="11" spans="1:9" ht="17.25" thickBot="1" x14ac:dyDescent="0.3">
      <c r="A11" s="101"/>
      <c r="B11" s="25" t="s">
        <v>78</v>
      </c>
      <c r="C11" s="20">
        <v>20</v>
      </c>
      <c r="D11" s="62">
        <f>1.22/30*C11</f>
        <v>0.81333333333333324</v>
      </c>
      <c r="E11" s="62">
        <f>7.32/30*C11</f>
        <v>4.8800000000000008</v>
      </c>
      <c r="F11" s="62">
        <f>4.73/30*C11</f>
        <v>3.1533333333333333</v>
      </c>
      <c r="G11" s="62">
        <f>26.9/30*C11</f>
        <v>17.933333333333334</v>
      </c>
      <c r="H11" s="62">
        <f>10.4/30*C11</f>
        <v>6.9333333333333336</v>
      </c>
      <c r="I11" s="20">
        <v>420</v>
      </c>
    </row>
    <row r="12" spans="1:9" ht="18" customHeight="1" thickBot="1" x14ac:dyDescent="0.3">
      <c r="A12" s="101"/>
      <c r="B12" s="9" t="s">
        <v>170</v>
      </c>
      <c r="C12" s="7">
        <v>150</v>
      </c>
      <c r="D12" s="66">
        <f>0.3/200*C12</f>
        <v>0.22500000000000001</v>
      </c>
      <c r="E12" s="66">
        <f>0.01/200*C12</f>
        <v>7.5000000000000006E-3</v>
      </c>
      <c r="F12" s="66">
        <f>17.5/200*C12</f>
        <v>13.125</v>
      </c>
      <c r="G12" s="7">
        <f>72/200*C12</f>
        <v>54</v>
      </c>
      <c r="H12" s="7">
        <f>80/200*C12</f>
        <v>60</v>
      </c>
      <c r="I12" s="7">
        <v>494</v>
      </c>
    </row>
    <row r="13" spans="1:9" ht="18" customHeight="1" thickBot="1" x14ac:dyDescent="0.3">
      <c r="A13" s="101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8" customHeight="1" thickBot="1" x14ac:dyDescent="0.3">
      <c r="A14" s="100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8" customHeight="1" thickBot="1" x14ac:dyDescent="0.3">
      <c r="A15" s="99" t="s">
        <v>17</v>
      </c>
      <c r="B15" s="54" t="s">
        <v>35</v>
      </c>
      <c r="C15" s="20">
        <v>150</v>
      </c>
      <c r="D15" s="20">
        <f>5.8/200*C15</f>
        <v>4.3499999999999996</v>
      </c>
      <c r="E15" s="20">
        <f>5/200*C15</f>
        <v>3.75</v>
      </c>
      <c r="F15" s="20">
        <f>8/200*C15</f>
        <v>6</v>
      </c>
      <c r="G15" s="20">
        <f>156/200*C15</f>
        <v>117</v>
      </c>
      <c r="H15" s="20">
        <f>1.4/200*C15</f>
        <v>1.0499999999999998</v>
      </c>
      <c r="I15" s="20">
        <v>470</v>
      </c>
    </row>
    <row r="16" spans="1:9" ht="18" customHeight="1" thickBot="1" x14ac:dyDescent="0.3">
      <c r="A16" s="100"/>
      <c r="B16" s="55" t="s">
        <v>34</v>
      </c>
      <c r="C16" s="58">
        <v>40</v>
      </c>
      <c r="D16" s="58">
        <v>3.9</v>
      </c>
      <c r="E16" s="58">
        <v>30.6</v>
      </c>
      <c r="F16" s="58">
        <v>62.5</v>
      </c>
      <c r="G16" s="58">
        <v>276</v>
      </c>
      <c r="H16" s="58">
        <v>0</v>
      </c>
      <c r="I16" s="58">
        <v>576</v>
      </c>
    </row>
    <row r="17" spans="1:9" ht="18" customHeight="1" thickBot="1" x14ac:dyDescent="0.3">
      <c r="A17" s="99" t="s">
        <v>18</v>
      </c>
      <c r="B17" s="11" t="s">
        <v>171</v>
      </c>
      <c r="C17" s="12">
        <v>150</v>
      </c>
      <c r="D17" s="12">
        <f>7.44/200*C17</f>
        <v>5.580000000000001</v>
      </c>
      <c r="E17" s="12">
        <f>9.12/200*C17</f>
        <v>6.839999999999999</v>
      </c>
      <c r="F17" s="12">
        <f>8.04/200*C17</f>
        <v>6.0299999999999985</v>
      </c>
      <c r="G17" s="12">
        <f>144/200*C17</f>
        <v>108</v>
      </c>
      <c r="H17" s="12">
        <f>4.4/200*C17</f>
        <v>3.3000000000000003</v>
      </c>
      <c r="I17" s="12">
        <v>122</v>
      </c>
    </row>
    <row r="18" spans="1:9" ht="18" customHeight="1" thickBot="1" x14ac:dyDescent="0.3">
      <c r="A18" s="101"/>
      <c r="B18" s="19" t="s">
        <v>76</v>
      </c>
      <c r="C18" s="20">
        <v>150</v>
      </c>
      <c r="D18" s="62">
        <f>0.3/200*C18</f>
        <v>0.22500000000000001</v>
      </c>
      <c r="E18" s="62">
        <f>0.1/200*C18</f>
        <v>7.4999999999999997E-2</v>
      </c>
      <c r="F18" s="62">
        <f>9.5/200*C18</f>
        <v>7.125</v>
      </c>
      <c r="G18" s="62">
        <f>49.2/200*C18</f>
        <v>36.900000000000006</v>
      </c>
      <c r="H18" s="62">
        <f>1/200*C18</f>
        <v>0.75</v>
      </c>
      <c r="I18" s="20">
        <v>459</v>
      </c>
    </row>
    <row r="19" spans="1:9" ht="18" customHeight="1" thickBot="1" x14ac:dyDescent="0.3">
      <c r="A19" s="101"/>
      <c r="B19" s="19" t="s">
        <v>158</v>
      </c>
      <c r="C19" s="7">
        <v>100</v>
      </c>
      <c r="D19" s="7">
        <v>0.4</v>
      </c>
      <c r="E19" s="7">
        <v>0.4</v>
      </c>
      <c r="F19" s="7">
        <v>9.8000000000000007</v>
      </c>
      <c r="G19" s="7">
        <v>44</v>
      </c>
      <c r="H19" s="7">
        <v>7</v>
      </c>
      <c r="I19" s="7">
        <v>82</v>
      </c>
    </row>
    <row r="20" spans="1:9" ht="18" customHeight="1" thickBot="1" x14ac:dyDescent="0.3">
      <c r="A20" s="101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8" customHeight="1" thickBot="1" x14ac:dyDescent="0.3">
      <c r="A21" s="100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99" t="s">
        <v>51</v>
      </c>
      <c r="B22" s="102"/>
      <c r="C22" s="99">
        <f>SUM(C3:C21)</f>
        <v>1635</v>
      </c>
      <c r="D22" s="99">
        <v>74.89</v>
      </c>
      <c r="E22" s="99">
        <v>75.27</v>
      </c>
      <c r="F22" s="99">
        <v>213.19</v>
      </c>
      <c r="G22" s="108">
        <f>SUM(G3:G21)</f>
        <v>1659.4232046332049</v>
      </c>
      <c r="H22" s="99">
        <v>90</v>
      </c>
      <c r="I22" s="105"/>
    </row>
    <row r="23" spans="1:9" ht="15.75" thickBot="1" x14ac:dyDescent="0.3">
      <c r="A23" s="100"/>
      <c r="B23" s="104"/>
      <c r="C23" s="100"/>
      <c r="D23" s="100"/>
      <c r="E23" s="100"/>
      <c r="F23" s="100"/>
      <c r="G23" s="110"/>
      <c r="H23" s="100"/>
      <c r="I23" s="107"/>
    </row>
  </sheetData>
  <mergeCells count="18">
    <mergeCell ref="C1:C2"/>
    <mergeCell ref="D1:F1"/>
    <mergeCell ref="G1:G2"/>
    <mergeCell ref="H1:H2"/>
    <mergeCell ref="I1:I2"/>
    <mergeCell ref="G22:G23"/>
    <mergeCell ref="H22:H23"/>
    <mergeCell ref="I22:I23"/>
    <mergeCell ref="A22:A23"/>
    <mergeCell ref="B22:B23"/>
    <mergeCell ref="C22:C23"/>
    <mergeCell ref="D22:D23"/>
    <mergeCell ref="E22:E23"/>
    <mergeCell ref="A3:A5"/>
    <mergeCell ref="A7:A14"/>
    <mergeCell ref="A17:A21"/>
    <mergeCell ref="A15:A16"/>
    <mergeCell ref="F22:F2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9" sqref="C9"/>
    </sheetView>
  </sheetViews>
  <sheetFormatPr defaultRowHeight="15" x14ac:dyDescent="0.25"/>
  <cols>
    <col min="1" max="1" width="12.85546875" customWidth="1"/>
    <col min="2" max="2" width="40.140625" customWidth="1"/>
    <col min="3" max="6" width="10.85546875" customWidth="1"/>
    <col min="7" max="7" width="12.140625" customWidth="1"/>
    <col min="8" max="8" width="11.7109375" customWidth="1"/>
    <col min="9" max="9" width="10.85546875" customWidth="1"/>
  </cols>
  <sheetData>
    <row r="1" spans="1:9" ht="30.7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3.75" thickBot="1" x14ac:dyDescent="0.3">
      <c r="A2" s="45" t="s">
        <v>177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7.25" customHeight="1" thickBot="1" x14ac:dyDescent="0.3">
      <c r="A3" s="99" t="s">
        <v>24</v>
      </c>
      <c r="B3" s="19" t="s">
        <v>137</v>
      </c>
      <c r="C3" s="20">
        <v>150</v>
      </c>
      <c r="D3" s="20">
        <f>7.16/200*C3</f>
        <v>5.37</v>
      </c>
      <c r="E3" s="20">
        <f>8.48/200*C3</f>
        <v>6.36</v>
      </c>
      <c r="F3" s="62">
        <f>29.14/200*C3</f>
        <v>21.855</v>
      </c>
      <c r="G3" s="20">
        <f>221.6/200*C3</f>
        <v>166.2</v>
      </c>
      <c r="H3" s="20">
        <f>1.52/200*C3</f>
        <v>1.1399999999999999</v>
      </c>
      <c r="I3" s="20">
        <v>234</v>
      </c>
    </row>
    <row r="4" spans="1:9" ht="17.25" customHeight="1" thickBot="1" x14ac:dyDescent="0.3">
      <c r="A4" s="101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7.25" customHeight="1" thickBot="1" x14ac:dyDescent="0.3">
      <c r="A5" s="100"/>
      <c r="B5" s="23" t="s">
        <v>70</v>
      </c>
      <c r="C5" s="20">
        <v>150</v>
      </c>
      <c r="D5" s="20">
        <f>2.8/200*C5</f>
        <v>2.0999999999999996</v>
      </c>
      <c r="E5" s="62">
        <f>2.5/200*C5</f>
        <v>1.875</v>
      </c>
      <c r="F5" s="20">
        <f>13.6/200*C5</f>
        <v>10.200000000000001</v>
      </c>
      <c r="G5" s="20">
        <f>88/200*C5</f>
        <v>66</v>
      </c>
      <c r="H5" s="62">
        <f>0.7/200*C5</f>
        <v>0.52499999999999991</v>
      </c>
      <c r="I5" s="20">
        <v>465</v>
      </c>
    </row>
    <row r="6" spans="1:9" ht="35.25" customHeight="1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7.25" customHeight="1" thickBot="1" x14ac:dyDescent="0.3">
      <c r="A7" s="87" t="s">
        <v>14</v>
      </c>
      <c r="B7" s="25" t="s">
        <v>98</v>
      </c>
      <c r="C7" s="26">
        <v>30</v>
      </c>
      <c r="D7" s="26">
        <f>0.48/60*C7</f>
        <v>0.24</v>
      </c>
      <c r="E7" s="26">
        <f>0.06/60*C7</f>
        <v>0.03</v>
      </c>
      <c r="F7" s="26">
        <f>1.02/60*C7</f>
        <v>0.51</v>
      </c>
      <c r="G7" s="26">
        <f>6.6/60*C7</f>
        <v>3.3</v>
      </c>
      <c r="H7" s="26">
        <f>1.5/60*C7</f>
        <v>0.75</v>
      </c>
      <c r="I7" s="26">
        <v>149</v>
      </c>
    </row>
    <row r="8" spans="1:9" ht="17.25" customHeight="1" thickBot="1" x14ac:dyDescent="0.3">
      <c r="A8" s="87"/>
      <c r="B8" s="19" t="s">
        <v>166</v>
      </c>
      <c r="C8" s="43">
        <v>150</v>
      </c>
      <c r="D8" s="43">
        <f>5.04/200*C8</f>
        <v>3.7800000000000002</v>
      </c>
      <c r="E8" s="63">
        <f>2.86/200*C8</f>
        <v>2.145</v>
      </c>
      <c r="F8" s="43">
        <f>11.68/200*C8</f>
        <v>8.76</v>
      </c>
      <c r="G8" s="63">
        <f>145.7/200*C8</f>
        <v>109.27499999999999</v>
      </c>
      <c r="H8" s="43">
        <f>3.8/200*C8</f>
        <v>2.85</v>
      </c>
      <c r="I8" s="43">
        <v>114</v>
      </c>
    </row>
    <row r="9" spans="1:9" ht="17.25" customHeight="1" thickBot="1" x14ac:dyDescent="0.3">
      <c r="A9" s="87"/>
      <c r="B9" s="19" t="s">
        <v>165</v>
      </c>
      <c r="C9" s="20">
        <v>50</v>
      </c>
      <c r="D9" s="20">
        <f>2.1/60*C9</f>
        <v>1.7500000000000002</v>
      </c>
      <c r="E9" s="20">
        <f>1.5/60*C9</f>
        <v>1.25</v>
      </c>
      <c r="F9" s="62">
        <f>3.27/60*C9</f>
        <v>2.7250000000000001</v>
      </c>
      <c r="G9" s="62">
        <f>48.77/60*C9</f>
        <v>40.641666666666673</v>
      </c>
      <c r="H9" s="62">
        <f>15.17/60*C9</f>
        <v>12.641666666666667</v>
      </c>
      <c r="I9" s="20">
        <v>138</v>
      </c>
    </row>
    <row r="10" spans="1:9" ht="17.25" customHeight="1" thickBot="1" x14ac:dyDescent="0.3">
      <c r="A10" s="87"/>
      <c r="B10" s="70" t="s">
        <v>22</v>
      </c>
      <c r="C10" s="26">
        <v>120</v>
      </c>
      <c r="D10" s="26">
        <f>4.05/150*C10</f>
        <v>3.2399999999999998</v>
      </c>
      <c r="E10" s="26">
        <f>6/150*C10</f>
        <v>4.8</v>
      </c>
      <c r="F10" s="26">
        <f>8.7/150*C10</f>
        <v>6.9599999999999991</v>
      </c>
      <c r="G10" s="71">
        <f>105/150*C10</f>
        <v>84</v>
      </c>
      <c r="H10" s="26">
        <f>3.6/150*C10</f>
        <v>2.88</v>
      </c>
      <c r="I10" s="34">
        <v>377</v>
      </c>
    </row>
    <row r="11" spans="1:9" ht="17.25" customHeight="1" thickBot="1" x14ac:dyDescent="0.3">
      <c r="A11" s="87"/>
      <c r="B11" s="19" t="s">
        <v>133</v>
      </c>
      <c r="C11" s="20">
        <v>20</v>
      </c>
      <c r="D11" s="62">
        <f>0.58/30*C11</f>
        <v>0.3866666666666666</v>
      </c>
      <c r="E11" s="62">
        <f>3.69/30*C11</f>
        <v>2.46</v>
      </c>
      <c r="F11" s="62">
        <f>1.61/30*C11</f>
        <v>1.0733333333333333</v>
      </c>
      <c r="G11" s="62">
        <f>12.6/30*C11</f>
        <v>8.4</v>
      </c>
      <c r="H11" s="62">
        <v>0</v>
      </c>
      <c r="I11" s="20" t="s">
        <v>134</v>
      </c>
    </row>
    <row r="12" spans="1:9" ht="17.25" customHeight="1" thickBot="1" x14ac:dyDescent="0.3">
      <c r="A12" s="87"/>
      <c r="B12" s="25" t="s">
        <v>124</v>
      </c>
      <c r="C12" s="20">
        <v>150</v>
      </c>
      <c r="D12" s="20">
        <f>1.8/200*150</f>
        <v>1.35</v>
      </c>
      <c r="E12" s="20">
        <f>1.8/200*150</f>
        <v>1.35</v>
      </c>
      <c r="F12" s="20">
        <f>11/200*150</f>
        <v>8.25</v>
      </c>
      <c r="G12" s="20">
        <f>90/200*150</f>
        <v>67.5</v>
      </c>
      <c r="H12" s="20">
        <f>1/200*150</f>
        <v>0.75</v>
      </c>
      <c r="I12" s="20">
        <v>479</v>
      </c>
    </row>
    <row r="13" spans="1:9" ht="17.25" customHeight="1" thickBot="1" x14ac:dyDescent="0.3">
      <c r="A13" s="87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7.25" customHeight="1" thickBot="1" x14ac:dyDescent="0.3">
      <c r="A14" s="77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7.25" customHeight="1" thickBot="1" x14ac:dyDescent="0.3">
      <c r="A15" s="76" t="s">
        <v>17</v>
      </c>
      <c r="B15" s="19" t="s">
        <v>39</v>
      </c>
      <c r="C15" s="20">
        <v>150</v>
      </c>
      <c r="D15" s="20">
        <f>5.8/200*C15</f>
        <v>4.3499999999999996</v>
      </c>
      <c r="E15" s="20">
        <f>5/200*C15</f>
        <v>3.75</v>
      </c>
      <c r="F15" s="20">
        <f>8/200*C15</f>
        <v>6</v>
      </c>
      <c r="G15" s="20">
        <f>156/200*C15</f>
        <v>117</v>
      </c>
      <c r="H15" s="20">
        <f>1.4/200*C15</f>
        <v>1.0499999999999998</v>
      </c>
      <c r="I15" s="20">
        <v>470</v>
      </c>
    </row>
    <row r="16" spans="1:9" ht="17.25" customHeight="1" thickBot="1" x14ac:dyDescent="0.3">
      <c r="A16" s="77"/>
      <c r="B16" s="19" t="s">
        <v>142</v>
      </c>
      <c r="C16" s="20">
        <v>30</v>
      </c>
      <c r="D16" s="62">
        <f>7.5/40*C16</f>
        <v>5.625</v>
      </c>
      <c r="E16" s="20">
        <f>9.8/40*C16</f>
        <v>7.3500000000000005</v>
      </c>
      <c r="F16" s="20">
        <f>74.4/40*C16</f>
        <v>55.800000000000004</v>
      </c>
      <c r="G16" s="20">
        <f>166/40*C16</f>
        <v>124.50000000000001</v>
      </c>
      <c r="H16" s="20">
        <v>0</v>
      </c>
      <c r="I16" s="20">
        <v>582</v>
      </c>
    </row>
    <row r="17" spans="1:9" ht="17.25" customHeight="1" thickBot="1" x14ac:dyDescent="0.3">
      <c r="A17" s="87"/>
      <c r="B17" s="19" t="s">
        <v>101</v>
      </c>
      <c r="C17" s="20">
        <v>100</v>
      </c>
      <c r="D17" s="20">
        <f>23.85/150*C17</f>
        <v>15.9</v>
      </c>
      <c r="E17" s="20">
        <f>11.55/150*C17</f>
        <v>7.7</v>
      </c>
      <c r="F17" s="20">
        <f>22.5/150*C17</f>
        <v>15</v>
      </c>
      <c r="G17" s="20">
        <f>291/150*C17</f>
        <v>194</v>
      </c>
      <c r="H17" s="20">
        <v>0</v>
      </c>
      <c r="I17" s="20">
        <v>279</v>
      </c>
    </row>
    <row r="18" spans="1:9" ht="17.25" customHeight="1" thickBot="1" x14ac:dyDescent="0.3">
      <c r="A18" s="87"/>
      <c r="B18" s="19" t="s">
        <v>127</v>
      </c>
      <c r="C18" s="20">
        <v>15</v>
      </c>
      <c r="D18" s="20">
        <f>1.44/20*15</f>
        <v>1.0799999999999998</v>
      </c>
      <c r="E18" s="62">
        <f>1.7/20*15</f>
        <v>1.2749999999999999</v>
      </c>
      <c r="F18" s="62">
        <f>11.1/20*15</f>
        <v>8.3249999999999993</v>
      </c>
      <c r="G18" s="20">
        <f>65.4/20*15</f>
        <v>49.050000000000004</v>
      </c>
      <c r="H18" s="20">
        <f>0.2/20*15</f>
        <v>0.15</v>
      </c>
      <c r="I18" s="20">
        <v>472</v>
      </c>
    </row>
    <row r="19" spans="1:9" ht="17.25" customHeight="1" thickBot="1" x14ac:dyDescent="0.3">
      <c r="A19" s="87"/>
      <c r="B19" s="19" t="s">
        <v>69</v>
      </c>
      <c r="C19" s="20">
        <v>150</v>
      </c>
      <c r="D19" s="62">
        <f>0.3/200*150</f>
        <v>0.22500000000000001</v>
      </c>
      <c r="E19" s="62">
        <f>0.1/200*150</f>
        <v>7.4999999999999997E-2</v>
      </c>
      <c r="F19" s="62">
        <f>9.5/200*150</f>
        <v>7.125</v>
      </c>
      <c r="G19" s="62">
        <f>40/200*150</f>
        <v>30</v>
      </c>
      <c r="H19" s="62">
        <f>1/200*150</f>
        <v>0.75</v>
      </c>
      <c r="I19" s="20" t="s">
        <v>128</v>
      </c>
    </row>
    <row r="20" spans="1:9" ht="17.25" customHeight="1" thickBot="1" x14ac:dyDescent="0.3">
      <c r="A20" s="87"/>
      <c r="B20" s="19" t="s">
        <v>158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7.25" customHeight="1" thickBot="1" x14ac:dyDescent="0.3">
      <c r="A21" s="87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7.25" customHeight="1" thickBot="1" x14ac:dyDescent="0.3">
      <c r="A22" s="77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ht="36" customHeight="1" thickBot="1" x14ac:dyDescent="0.3">
      <c r="A23" s="45" t="s">
        <v>53</v>
      </c>
      <c r="B23" s="19"/>
      <c r="C23" s="18">
        <f t="shared" ref="C23:H23" si="0">SUM(C3:C22)</f>
        <v>1570</v>
      </c>
      <c r="D23" s="67">
        <f t="shared" si="0"/>
        <v>53.61774774774775</v>
      </c>
      <c r="E23" s="67">
        <f t="shared" si="0"/>
        <v>49.272432432432431</v>
      </c>
      <c r="F23" s="67">
        <f t="shared" si="0"/>
        <v>214.8600900900901</v>
      </c>
      <c r="G23" s="67">
        <f t="shared" si="0"/>
        <v>1418.7855855855855</v>
      </c>
      <c r="H23" s="67">
        <f t="shared" si="0"/>
        <v>32.486666666666665</v>
      </c>
      <c r="I23" s="20"/>
    </row>
  </sheetData>
  <mergeCells count="9">
    <mergeCell ref="I1:I2"/>
    <mergeCell ref="A3:A5"/>
    <mergeCell ref="A7:A14"/>
    <mergeCell ref="A15:A16"/>
    <mergeCell ref="A17:A22"/>
    <mergeCell ref="C1:C2"/>
    <mergeCell ref="D1:F1"/>
    <mergeCell ref="G1:G2"/>
    <mergeCell ref="H1:H2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5" sqref="B5:I5"/>
    </sheetView>
  </sheetViews>
  <sheetFormatPr defaultRowHeight="15" x14ac:dyDescent="0.25"/>
  <cols>
    <col min="1" max="1" width="12.42578125" customWidth="1"/>
    <col min="2" max="2" width="41.28515625" customWidth="1"/>
    <col min="3" max="6" width="11.140625" customWidth="1"/>
    <col min="7" max="7" width="12.140625" customWidth="1"/>
    <col min="8" max="9" width="11.140625" customWidth="1"/>
  </cols>
  <sheetData>
    <row r="1" spans="1:9" ht="33.75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43.5" customHeight="1" thickBot="1" x14ac:dyDescent="0.3">
      <c r="A2" s="45" t="s">
        <v>60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20.25" customHeight="1" thickBot="1" x14ac:dyDescent="0.3">
      <c r="A3" s="99" t="s">
        <v>24</v>
      </c>
      <c r="B3" s="25" t="s">
        <v>138</v>
      </c>
      <c r="C3" s="26">
        <v>150</v>
      </c>
      <c r="D3" s="26">
        <f>8.4/200*C3</f>
        <v>6.3000000000000007</v>
      </c>
      <c r="E3" s="26">
        <f>6.6/200*C3</f>
        <v>4.95</v>
      </c>
      <c r="F3" s="26">
        <f>37.8/200*C3</f>
        <v>28.349999999999994</v>
      </c>
      <c r="G3" s="26">
        <f>245.4/200*C3</f>
        <v>184.05</v>
      </c>
      <c r="H3" s="26">
        <f>1.24/200*C3</f>
        <v>0.92999999999999994</v>
      </c>
      <c r="I3" s="26">
        <v>223</v>
      </c>
    </row>
    <row r="4" spans="1:9" ht="20.25" customHeight="1" thickBot="1" x14ac:dyDescent="0.3">
      <c r="A4" s="101"/>
      <c r="B4" s="25" t="s">
        <v>77</v>
      </c>
      <c r="C4" s="30">
        <v>25</v>
      </c>
      <c r="D4" s="64">
        <f>6.9/37*C4</f>
        <v>4.6621621621621623</v>
      </c>
      <c r="E4" s="64">
        <f>9/37*C4</f>
        <v>6.0810810810810816</v>
      </c>
      <c r="F4" s="64">
        <f>10/37*C4</f>
        <v>6.756756756756757</v>
      </c>
      <c r="G4" s="64">
        <f>149/37*C4</f>
        <v>100.67567567567568</v>
      </c>
      <c r="H4" s="64">
        <f>0.1/37*C4</f>
        <v>6.7567567567567571E-2</v>
      </c>
      <c r="I4" s="26">
        <v>63</v>
      </c>
    </row>
    <row r="5" spans="1:9" ht="20.25" customHeight="1" thickBot="1" x14ac:dyDescent="0.3">
      <c r="A5" s="100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7">
        <f>0.3/200*C5</f>
        <v>0.22500000000000001</v>
      </c>
      <c r="I5" s="7">
        <v>460</v>
      </c>
    </row>
    <row r="6" spans="1:9" ht="33" customHeight="1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87" t="s">
        <v>14</v>
      </c>
      <c r="B7" s="46" t="s">
        <v>173</v>
      </c>
      <c r="C7" s="43">
        <v>150</v>
      </c>
      <c r="D7" s="20">
        <f>2/200*C7</f>
        <v>1.5</v>
      </c>
      <c r="E7" s="20">
        <f>3.08/200*C7</f>
        <v>2.31</v>
      </c>
      <c r="F7" s="20">
        <f>40/200*C7</f>
        <v>30</v>
      </c>
      <c r="G7" s="20">
        <f>171.4/200*C7</f>
        <v>128.55000000000001</v>
      </c>
      <c r="H7" s="20">
        <f>0.4/200*C7</f>
        <v>0.3</v>
      </c>
      <c r="I7" s="20">
        <v>128</v>
      </c>
    </row>
    <row r="8" spans="1:9" ht="18" customHeight="1" thickBot="1" x14ac:dyDescent="0.3">
      <c r="A8" s="87"/>
      <c r="B8" s="19" t="s">
        <v>174</v>
      </c>
      <c r="C8" s="20">
        <v>150</v>
      </c>
      <c r="D8" s="20">
        <f>17/200*C8</f>
        <v>12.750000000000002</v>
      </c>
      <c r="E8" s="20">
        <f>17/200*C8</f>
        <v>12.750000000000002</v>
      </c>
      <c r="F8" s="20">
        <f>17/200*C8</f>
        <v>12.750000000000002</v>
      </c>
      <c r="G8" s="20">
        <f>289/200*C8</f>
        <v>216.75</v>
      </c>
      <c r="H8" s="20">
        <f>7.2/200*C8</f>
        <v>5.4</v>
      </c>
      <c r="I8" s="20">
        <v>322</v>
      </c>
    </row>
    <row r="9" spans="1:9" ht="18" customHeight="1" thickBot="1" x14ac:dyDescent="0.3">
      <c r="A9" s="87"/>
      <c r="B9" s="19" t="s">
        <v>73</v>
      </c>
      <c r="C9" s="20">
        <v>150</v>
      </c>
      <c r="D9" s="62">
        <f>0.2/200*C9</f>
        <v>0.15</v>
      </c>
      <c r="E9" s="62">
        <f>0.1/200*C9</f>
        <v>7.4999999999999997E-2</v>
      </c>
      <c r="F9" s="62">
        <f>10.7/200*C9</f>
        <v>8.0250000000000004</v>
      </c>
      <c r="G9" s="62">
        <f>44/200*C9</f>
        <v>33</v>
      </c>
      <c r="H9" s="62">
        <f>16.5/200*C9</f>
        <v>12.375</v>
      </c>
      <c r="I9" s="20">
        <v>491</v>
      </c>
    </row>
    <row r="10" spans="1:9" ht="18" customHeight="1" thickBot="1" x14ac:dyDescent="0.3">
      <c r="A10" s="87"/>
      <c r="B10" s="9" t="s">
        <v>15</v>
      </c>
      <c r="C10" s="20">
        <v>20</v>
      </c>
      <c r="D10" s="20">
        <f>2.28/30*C10</f>
        <v>1.52</v>
      </c>
      <c r="E10" s="20">
        <f>0.24/30*C10</f>
        <v>0.16</v>
      </c>
      <c r="F10" s="20">
        <f>14.76/30*C10</f>
        <v>9.84</v>
      </c>
      <c r="G10" s="20">
        <f>70.2/30*C10</f>
        <v>46.800000000000004</v>
      </c>
      <c r="H10" s="20">
        <v>0</v>
      </c>
      <c r="I10" s="20">
        <v>573</v>
      </c>
    </row>
    <row r="11" spans="1:9" ht="18" customHeight="1" thickBot="1" x14ac:dyDescent="0.3">
      <c r="A11" s="77"/>
      <c r="B11" s="9" t="s">
        <v>16</v>
      </c>
      <c r="C11" s="20">
        <v>20</v>
      </c>
      <c r="D11" s="20">
        <f>2.4/30*C11</f>
        <v>1.6</v>
      </c>
      <c r="E11" s="20">
        <f>0.45/30*C11</f>
        <v>0.30000000000000004</v>
      </c>
      <c r="F11" s="20">
        <f>12.03/30*C11</f>
        <v>8.02</v>
      </c>
      <c r="G11" s="20">
        <f>61.8/30*C11</f>
        <v>41.2</v>
      </c>
      <c r="H11" s="20">
        <v>0</v>
      </c>
      <c r="I11" s="20">
        <v>574</v>
      </c>
    </row>
    <row r="12" spans="1:9" ht="18" customHeight="1" thickBot="1" x14ac:dyDescent="0.3">
      <c r="A12" s="76" t="s">
        <v>17</v>
      </c>
      <c r="B12" s="19" t="s">
        <v>118</v>
      </c>
      <c r="C12" s="20">
        <v>150</v>
      </c>
      <c r="D12" s="62">
        <f>5.8/200*C12</f>
        <v>4.3499999999999996</v>
      </c>
      <c r="E12" s="62">
        <f>5.3/200*C12</f>
        <v>3.9750000000000001</v>
      </c>
      <c r="F12" s="62">
        <f>9.1/200*C12</f>
        <v>6.8250000000000002</v>
      </c>
      <c r="G12" s="62">
        <f>108/200*C12</f>
        <v>81</v>
      </c>
      <c r="H12" s="62">
        <f>1.4/200*C12</f>
        <v>1.0499999999999998</v>
      </c>
      <c r="I12" s="20">
        <v>469</v>
      </c>
    </row>
    <row r="13" spans="1:9" ht="18" customHeight="1" thickBot="1" x14ac:dyDescent="0.3">
      <c r="A13" s="77"/>
      <c r="B13" s="19" t="s">
        <v>175</v>
      </c>
      <c r="C13" s="20">
        <v>50</v>
      </c>
      <c r="D13" s="62">
        <f>4.3/60*C13</f>
        <v>3.5833333333333335</v>
      </c>
      <c r="E13" s="62">
        <f>8/60*C13</f>
        <v>6.666666666666667</v>
      </c>
      <c r="F13" s="62">
        <f>28.8/60*C13</f>
        <v>24.000000000000004</v>
      </c>
      <c r="G13" s="62">
        <f>205/60*C13</f>
        <v>170.83333333333331</v>
      </c>
      <c r="H13" s="20">
        <v>0</v>
      </c>
      <c r="I13" s="20">
        <v>543</v>
      </c>
    </row>
    <row r="14" spans="1:9" ht="18" customHeight="1" thickBot="1" x14ac:dyDescent="0.3">
      <c r="A14" s="76" t="s">
        <v>18</v>
      </c>
      <c r="B14" s="19" t="s">
        <v>176</v>
      </c>
      <c r="C14" s="20">
        <v>120</v>
      </c>
      <c r="D14" s="20">
        <f>9/150*C14</f>
        <v>7.1999999999999993</v>
      </c>
      <c r="E14" s="20">
        <f>5/150*C14</f>
        <v>4</v>
      </c>
      <c r="F14" s="20">
        <f>40.3/150*C14</f>
        <v>32.24</v>
      </c>
      <c r="G14" s="20">
        <f>243/150*C14</f>
        <v>194.4</v>
      </c>
      <c r="H14" s="20">
        <f>0.7/150*C14</f>
        <v>0.55999999999999994</v>
      </c>
      <c r="I14" s="20">
        <v>203</v>
      </c>
    </row>
    <row r="15" spans="1:9" ht="18" customHeight="1" thickBot="1" x14ac:dyDescent="0.3">
      <c r="A15" s="87"/>
      <c r="B15" s="19" t="s">
        <v>69</v>
      </c>
      <c r="C15" s="20">
        <v>150</v>
      </c>
      <c r="D15" s="62">
        <f>0.3/200*150</f>
        <v>0.22500000000000001</v>
      </c>
      <c r="E15" s="62">
        <f>0.1/200*150</f>
        <v>7.4999999999999997E-2</v>
      </c>
      <c r="F15" s="62">
        <f>9.5/200*150</f>
        <v>7.125</v>
      </c>
      <c r="G15" s="62">
        <f>40/200*150</f>
        <v>30</v>
      </c>
      <c r="H15" s="62">
        <f>1/200*150</f>
        <v>0.75</v>
      </c>
      <c r="I15" s="20" t="s">
        <v>128</v>
      </c>
    </row>
    <row r="16" spans="1:9" ht="18" customHeight="1" thickBot="1" x14ac:dyDescent="0.3">
      <c r="A16" s="87"/>
      <c r="B16" s="19" t="s">
        <v>158</v>
      </c>
      <c r="C16" s="20">
        <v>100</v>
      </c>
      <c r="D16" s="20">
        <v>0.4</v>
      </c>
      <c r="E16" s="20">
        <v>0.4</v>
      </c>
      <c r="F16" s="20">
        <v>9.8000000000000007</v>
      </c>
      <c r="G16" s="20">
        <v>44</v>
      </c>
      <c r="H16" s="20">
        <v>7</v>
      </c>
      <c r="I16" s="20">
        <v>82</v>
      </c>
    </row>
    <row r="17" spans="1:9" ht="18" customHeight="1" thickBot="1" x14ac:dyDescent="0.3">
      <c r="A17" s="87"/>
      <c r="B17" s="9" t="s">
        <v>15</v>
      </c>
      <c r="C17" s="20">
        <v>20</v>
      </c>
      <c r="D17" s="20">
        <f>2.28/30*C17</f>
        <v>1.52</v>
      </c>
      <c r="E17" s="20">
        <f>0.24/30*C17</f>
        <v>0.16</v>
      </c>
      <c r="F17" s="20">
        <f>14.76/30*C17</f>
        <v>9.84</v>
      </c>
      <c r="G17" s="20">
        <f>70.2/30*C17</f>
        <v>46.800000000000004</v>
      </c>
      <c r="H17" s="20">
        <v>0</v>
      </c>
      <c r="I17" s="20">
        <v>573</v>
      </c>
    </row>
    <row r="18" spans="1:9" ht="18" customHeight="1" thickBot="1" x14ac:dyDescent="0.3">
      <c r="A18" s="77"/>
      <c r="B18" s="9" t="s">
        <v>16</v>
      </c>
      <c r="C18" s="20">
        <v>20</v>
      </c>
      <c r="D18" s="20">
        <f>2.4/30*C18</f>
        <v>1.6</v>
      </c>
      <c r="E18" s="20">
        <f>0.45/30*C18</f>
        <v>0.30000000000000004</v>
      </c>
      <c r="F18" s="20">
        <f>12.03/30*C18</f>
        <v>8.02</v>
      </c>
      <c r="G18" s="20">
        <f>61.8/30*C18</f>
        <v>41.2</v>
      </c>
      <c r="H18" s="20">
        <v>0</v>
      </c>
      <c r="I18" s="20">
        <v>574</v>
      </c>
    </row>
    <row r="19" spans="1:9" ht="15" customHeight="1" x14ac:dyDescent="0.25">
      <c r="A19" s="76" t="s">
        <v>56</v>
      </c>
      <c r="B19" s="88"/>
      <c r="C19" s="76">
        <f t="shared" ref="C19:H19" si="0">SUM(C3:C18)</f>
        <v>1525</v>
      </c>
      <c r="D19" s="84">
        <f t="shared" si="0"/>
        <v>49.060495495495502</v>
      </c>
      <c r="E19" s="84">
        <f t="shared" si="0"/>
        <v>43.277747747747746</v>
      </c>
      <c r="F19" s="84">
        <f t="shared" si="0"/>
        <v>220.21675675675678</v>
      </c>
      <c r="G19" s="84">
        <f t="shared" si="0"/>
        <v>1467.2590090090091</v>
      </c>
      <c r="H19" s="84">
        <f t="shared" si="0"/>
        <v>30.657567567567568</v>
      </c>
      <c r="I19" s="81"/>
    </row>
    <row r="20" spans="1:9" ht="15" customHeight="1" thickBot="1" x14ac:dyDescent="0.3">
      <c r="A20" s="77"/>
      <c r="B20" s="89"/>
      <c r="C20" s="77"/>
      <c r="D20" s="86"/>
      <c r="E20" s="86"/>
      <c r="F20" s="86"/>
      <c r="G20" s="86"/>
      <c r="H20" s="86"/>
      <c r="I20" s="83"/>
    </row>
  </sheetData>
  <mergeCells count="18">
    <mergeCell ref="C1:C2"/>
    <mergeCell ref="D1:F1"/>
    <mergeCell ref="G1:G2"/>
    <mergeCell ref="H1:H2"/>
    <mergeCell ref="I1:I2"/>
    <mergeCell ref="G19:G20"/>
    <mergeCell ref="H19:H20"/>
    <mergeCell ref="I19:I20"/>
    <mergeCell ref="A3:A5"/>
    <mergeCell ref="A7:A11"/>
    <mergeCell ref="A12:A13"/>
    <mergeCell ref="A14:A18"/>
    <mergeCell ref="A19:A20"/>
    <mergeCell ref="B19:B20"/>
    <mergeCell ref="C19:C20"/>
    <mergeCell ref="D19:D20"/>
    <mergeCell ref="E19:E20"/>
    <mergeCell ref="F19:F20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3" sqref="B3:I3"/>
    </sheetView>
  </sheetViews>
  <sheetFormatPr defaultRowHeight="15" x14ac:dyDescent="0.25"/>
  <cols>
    <col min="1" max="1" width="12.42578125" customWidth="1"/>
    <col min="2" max="2" width="36.85546875" customWidth="1"/>
    <col min="3" max="6" width="10.85546875" customWidth="1"/>
    <col min="7" max="7" width="11.7109375" customWidth="1"/>
    <col min="8" max="8" width="12.140625" customWidth="1"/>
    <col min="9" max="9" width="10.85546875" customWidth="1"/>
  </cols>
  <sheetData>
    <row r="1" spans="1:9" ht="35.2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55</v>
      </c>
      <c r="H1" s="76" t="s">
        <v>7</v>
      </c>
      <c r="I1" s="76" t="s">
        <v>8</v>
      </c>
    </row>
    <row r="2" spans="1:9" ht="30" customHeight="1" thickBot="1" x14ac:dyDescent="0.3">
      <c r="A2" s="45" t="s">
        <v>59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5.75" customHeight="1" thickBot="1" x14ac:dyDescent="0.3">
      <c r="A3" s="76" t="s">
        <v>24</v>
      </c>
      <c r="B3" s="25" t="s">
        <v>82</v>
      </c>
      <c r="C3" s="26">
        <v>150</v>
      </c>
      <c r="D3" s="26">
        <f>4.8/200*C3</f>
        <v>3.6</v>
      </c>
      <c r="E3" s="26">
        <f>5/200*C3</f>
        <v>3.75</v>
      </c>
      <c r="F3" s="26">
        <f>16.4/200*C3</f>
        <v>12.299999999999999</v>
      </c>
      <c r="G3" s="26">
        <f>156/200*C3</f>
        <v>117</v>
      </c>
      <c r="H3" s="26">
        <f>0.9/200*C3</f>
        <v>0.67500000000000004</v>
      </c>
      <c r="I3" s="26">
        <v>140</v>
      </c>
    </row>
    <row r="4" spans="1:9" ht="17.25" thickBot="1" x14ac:dyDescent="0.3">
      <c r="A4" s="87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7.25" thickBot="1" x14ac:dyDescent="0.3">
      <c r="A5" s="77"/>
      <c r="B5" s="19" t="s">
        <v>67</v>
      </c>
      <c r="C5" s="21">
        <v>150</v>
      </c>
      <c r="D5" s="62">
        <f>3.3/200*C5</f>
        <v>2.4750000000000001</v>
      </c>
      <c r="E5" s="62">
        <f>2.9/200*C5</f>
        <v>2.1749999999999998</v>
      </c>
      <c r="F5" s="62">
        <f>13.8/200*C5</f>
        <v>10.350000000000001</v>
      </c>
      <c r="G5" s="62">
        <f>94/200*C5</f>
        <v>70.5</v>
      </c>
      <c r="H5" s="62">
        <f>0.7/200*C5</f>
        <v>0.52499999999999991</v>
      </c>
      <c r="I5" s="20">
        <v>462</v>
      </c>
    </row>
    <row r="6" spans="1:9" ht="33.75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5.75" customHeight="1" thickBot="1" x14ac:dyDescent="0.3">
      <c r="A7" s="87"/>
      <c r="B7" s="46" t="s">
        <v>178</v>
      </c>
      <c r="C7" s="43">
        <v>40</v>
      </c>
      <c r="D7" s="63">
        <f>1.3/60*C7</f>
        <v>0.8666666666666667</v>
      </c>
      <c r="E7" s="63">
        <f>6.1/60*C7</f>
        <v>4.0666666666666664</v>
      </c>
      <c r="F7" s="63">
        <f>6.2/60*C7</f>
        <v>4.1333333333333329</v>
      </c>
      <c r="G7" s="63">
        <f>41.2/60*C7</f>
        <v>27.466666666666669</v>
      </c>
      <c r="H7" s="63">
        <f>4.7/60*C7</f>
        <v>3.1333333333333337</v>
      </c>
      <c r="I7" s="43">
        <v>31</v>
      </c>
    </row>
    <row r="8" spans="1:9" ht="17.25" customHeight="1" thickBot="1" x14ac:dyDescent="0.3">
      <c r="A8" s="87"/>
      <c r="B8" s="19" t="s">
        <v>179</v>
      </c>
      <c r="C8" s="20">
        <v>150</v>
      </c>
      <c r="D8" s="62">
        <f>2.94/200*C8</f>
        <v>2.2050000000000001</v>
      </c>
      <c r="E8" s="62">
        <f>3.7/200*C8</f>
        <v>2.7750000000000004</v>
      </c>
      <c r="F8" s="62">
        <f>8.76/200*C8</f>
        <v>6.5699999999999994</v>
      </c>
      <c r="G8" s="62">
        <f>180/200*C8</f>
        <v>135</v>
      </c>
      <c r="H8" s="62">
        <f>3.38/200*C8</f>
        <v>2.5349999999999997</v>
      </c>
      <c r="I8" s="20">
        <v>96</v>
      </c>
    </row>
    <row r="9" spans="1:9" ht="17.25" customHeight="1" thickBot="1" x14ac:dyDescent="0.3">
      <c r="A9" s="87"/>
      <c r="B9" s="19" t="s">
        <v>105</v>
      </c>
      <c r="C9" s="20">
        <v>50</v>
      </c>
      <c r="D9" s="62">
        <f>13/70*C9</f>
        <v>9.2857142857142865</v>
      </c>
      <c r="E9" s="62">
        <f>0.5/70*C9</f>
        <v>0.35714285714285715</v>
      </c>
      <c r="F9" s="62">
        <f>0.8/70*C9</f>
        <v>0.5714285714285714</v>
      </c>
      <c r="G9" s="62">
        <f>102.6/70*C9</f>
        <v>73.285714285714278</v>
      </c>
      <c r="H9" s="62">
        <f>2.7/70*C9</f>
        <v>1.9285714285714288</v>
      </c>
      <c r="I9" s="20">
        <v>296</v>
      </c>
    </row>
    <row r="10" spans="1:9" ht="17.25" customHeight="1" thickBot="1" x14ac:dyDescent="0.3">
      <c r="A10" s="87"/>
      <c r="B10" s="19" t="s">
        <v>80</v>
      </c>
      <c r="C10" s="20">
        <v>120</v>
      </c>
      <c r="D10" s="62">
        <f>3.72/150*C10</f>
        <v>2.9760000000000004</v>
      </c>
      <c r="E10" s="62">
        <f>4.87/150*C10</f>
        <v>3.8959999999999999</v>
      </c>
      <c r="F10" s="62">
        <f>38.11/150*C10</f>
        <v>30.488</v>
      </c>
      <c r="G10" s="62">
        <f>211.2/150*C10</f>
        <v>168.95999999999998</v>
      </c>
      <c r="H10" s="20">
        <v>0</v>
      </c>
      <c r="I10" s="20">
        <v>205</v>
      </c>
    </row>
    <row r="11" spans="1:9" ht="17.25" thickBot="1" x14ac:dyDescent="0.3">
      <c r="A11" s="87"/>
      <c r="B11" s="19" t="s">
        <v>93</v>
      </c>
      <c r="C11" s="20">
        <v>20</v>
      </c>
      <c r="D11" s="20">
        <f>3.33/30*C11</f>
        <v>2.2200000000000002</v>
      </c>
      <c r="E11" s="62">
        <f>6.19/30*C11</f>
        <v>4.1266666666666669</v>
      </c>
      <c r="F11" s="62">
        <f>6.37/30*C11</f>
        <v>4.246666666666667</v>
      </c>
      <c r="G11" s="62">
        <f>9.45/30*C11</f>
        <v>6.3</v>
      </c>
      <c r="H11" s="62">
        <f>0.65/30*C11</f>
        <v>0.43333333333333335</v>
      </c>
      <c r="I11" s="20">
        <v>403</v>
      </c>
    </row>
    <row r="12" spans="1:9" ht="17.25" thickBot="1" x14ac:dyDescent="0.3">
      <c r="A12" s="87"/>
      <c r="B12" s="19" t="s">
        <v>135</v>
      </c>
      <c r="C12" s="20">
        <v>150</v>
      </c>
      <c r="D12" s="62">
        <f>0.3/200*C12</f>
        <v>0.22500000000000001</v>
      </c>
      <c r="E12" s="62">
        <f>0.3/200*C12</f>
        <v>0.22500000000000001</v>
      </c>
      <c r="F12" s="62">
        <f>37.1/200*C12</f>
        <v>27.824999999999999</v>
      </c>
      <c r="G12" s="62">
        <f>152/200*C12</f>
        <v>114</v>
      </c>
      <c r="H12" s="62">
        <f>1/200*C12</f>
        <v>0.75</v>
      </c>
      <c r="I12" s="20">
        <v>493</v>
      </c>
    </row>
    <row r="13" spans="1:9" ht="17.25" thickBot="1" x14ac:dyDescent="0.3">
      <c r="A13" s="87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7.25" thickBot="1" x14ac:dyDescent="0.3">
      <c r="A14" s="77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7.25" thickBot="1" x14ac:dyDescent="0.3">
      <c r="A15" s="76" t="s">
        <v>17</v>
      </c>
      <c r="B15" s="19" t="s">
        <v>69</v>
      </c>
      <c r="C15" s="20">
        <v>150</v>
      </c>
      <c r="D15" s="62">
        <f>0.3/200*150</f>
        <v>0.22500000000000001</v>
      </c>
      <c r="E15" s="62">
        <f>0.1/200*150</f>
        <v>7.4999999999999997E-2</v>
      </c>
      <c r="F15" s="62">
        <f>9.5/200*150</f>
        <v>7.125</v>
      </c>
      <c r="G15" s="62">
        <f>40/200*150</f>
        <v>30</v>
      </c>
      <c r="H15" s="62">
        <f>1/200*150</f>
        <v>0.75</v>
      </c>
      <c r="I15" s="20" t="s">
        <v>128</v>
      </c>
    </row>
    <row r="16" spans="1:9" ht="17.25" thickBot="1" x14ac:dyDescent="0.3">
      <c r="A16" s="77"/>
      <c r="B16" s="19" t="s">
        <v>129</v>
      </c>
      <c r="C16" s="20">
        <v>100</v>
      </c>
      <c r="D16" s="20">
        <v>9.6</v>
      </c>
      <c r="E16" s="20">
        <v>10</v>
      </c>
      <c r="F16" s="20">
        <v>14.3</v>
      </c>
      <c r="G16" s="20">
        <v>167</v>
      </c>
      <c r="H16" s="20">
        <v>0</v>
      </c>
      <c r="I16" s="20" t="s">
        <v>130</v>
      </c>
    </row>
    <row r="17" spans="1:9" ht="17.25" thickBot="1" x14ac:dyDescent="0.3">
      <c r="A17" s="76" t="s">
        <v>18</v>
      </c>
      <c r="B17" s="19" t="s">
        <v>29</v>
      </c>
      <c r="C17" s="20">
        <v>120</v>
      </c>
      <c r="D17" s="20">
        <f>12.9/150*C17</f>
        <v>10.32</v>
      </c>
      <c r="E17" s="20">
        <f>19.6/150*C17</f>
        <v>15.680000000000001</v>
      </c>
      <c r="F17" s="20">
        <f>3.2/150*C17</f>
        <v>2.5600000000000005</v>
      </c>
      <c r="G17" s="20">
        <f>240/150*C17</f>
        <v>192</v>
      </c>
      <c r="H17" s="20">
        <f>0.4/150*C17</f>
        <v>0.32000000000000006</v>
      </c>
      <c r="I17" s="20">
        <v>268</v>
      </c>
    </row>
    <row r="18" spans="1:9" ht="17.25" thickBot="1" x14ac:dyDescent="0.3">
      <c r="A18" s="87"/>
      <c r="B18" s="19" t="s">
        <v>69</v>
      </c>
      <c r="C18" s="20">
        <v>150</v>
      </c>
      <c r="D18" s="62">
        <f>0.3/200*150</f>
        <v>0.22500000000000001</v>
      </c>
      <c r="E18" s="62">
        <f>0.1/200*150</f>
        <v>7.4999999999999997E-2</v>
      </c>
      <c r="F18" s="62">
        <f>9.5/200*150</f>
        <v>7.125</v>
      </c>
      <c r="G18" s="62">
        <f>40/200*150</f>
        <v>30</v>
      </c>
      <c r="H18" s="62">
        <f>1/200*150</f>
        <v>0.75</v>
      </c>
      <c r="I18" s="20" t="s">
        <v>128</v>
      </c>
    </row>
    <row r="19" spans="1:9" ht="17.25" thickBot="1" x14ac:dyDescent="0.3">
      <c r="A19" s="87"/>
      <c r="B19" s="19" t="s">
        <v>158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7.25" thickBot="1" x14ac:dyDescent="0.3">
      <c r="A20" s="87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7.25" thickBot="1" x14ac:dyDescent="0.3">
      <c r="A21" s="77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76" t="s">
        <v>191</v>
      </c>
      <c r="B22" s="88"/>
      <c r="C22" s="76">
        <f t="shared" ref="C22:H22" si="0">SUM(C3:C21)</f>
        <v>1655</v>
      </c>
      <c r="D22" s="84">
        <f t="shared" si="0"/>
        <v>52.444462033462038</v>
      </c>
      <c r="E22" s="84">
        <f t="shared" si="0"/>
        <v>56.053908622908622</v>
      </c>
      <c r="F22" s="84">
        <f t="shared" si="0"/>
        <v>189.87118532818536</v>
      </c>
      <c r="G22" s="84">
        <f t="shared" si="0"/>
        <v>1490.4312998712999</v>
      </c>
      <c r="H22" s="84">
        <f t="shared" si="0"/>
        <v>20.800238095238097</v>
      </c>
      <c r="I22" s="81"/>
    </row>
    <row r="23" spans="1:9" x14ac:dyDescent="0.25">
      <c r="A23" s="87"/>
      <c r="B23" s="114"/>
      <c r="C23" s="87"/>
      <c r="D23" s="85"/>
      <c r="E23" s="85"/>
      <c r="F23" s="85"/>
      <c r="G23" s="85"/>
      <c r="H23" s="85"/>
      <c r="I23" s="82"/>
    </row>
    <row r="24" spans="1:9" ht="15.75" thickBot="1" x14ac:dyDescent="0.3">
      <c r="A24" s="77"/>
      <c r="B24" s="89"/>
      <c r="C24" s="77"/>
      <c r="D24" s="86"/>
      <c r="E24" s="86"/>
      <c r="F24" s="86"/>
      <c r="G24" s="86"/>
      <c r="H24" s="86"/>
      <c r="I24" s="83"/>
    </row>
  </sheetData>
  <mergeCells count="18">
    <mergeCell ref="G1:G2"/>
    <mergeCell ref="H1:H2"/>
    <mergeCell ref="I1:I2"/>
    <mergeCell ref="C1:C2"/>
    <mergeCell ref="D1:F1"/>
    <mergeCell ref="G22:G24"/>
    <mergeCell ref="H22:H24"/>
    <mergeCell ref="I22:I24"/>
    <mergeCell ref="A3:A5"/>
    <mergeCell ref="A7:A14"/>
    <mergeCell ref="A15:A16"/>
    <mergeCell ref="A17:A21"/>
    <mergeCell ref="A22:A24"/>
    <mergeCell ref="B22:B24"/>
    <mergeCell ref="C22:C24"/>
    <mergeCell ref="D22:D24"/>
    <mergeCell ref="E22:E24"/>
    <mergeCell ref="F22:F2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18" sqref="C18"/>
    </sheetView>
  </sheetViews>
  <sheetFormatPr defaultRowHeight="15" x14ac:dyDescent="0.25"/>
  <cols>
    <col min="1" max="1" width="14" customWidth="1"/>
    <col min="2" max="2" width="36" customWidth="1"/>
    <col min="3" max="3" width="11.28515625" customWidth="1"/>
    <col min="4" max="6" width="10.85546875" customWidth="1"/>
    <col min="7" max="7" width="11.42578125" customWidth="1"/>
    <col min="8" max="8" width="11.85546875" customWidth="1"/>
    <col min="9" max="9" width="10.85546875" customWidth="1"/>
  </cols>
  <sheetData>
    <row r="1" spans="1:9" ht="33.75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0" customHeight="1" thickBot="1" x14ac:dyDescent="0.3">
      <c r="A2" s="45" t="s">
        <v>58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.75" customHeight="1" thickBot="1" x14ac:dyDescent="0.3">
      <c r="A3" s="76" t="s">
        <v>12</v>
      </c>
      <c r="B3" s="19" t="s">
        <v>136</v>
      </c>
      <c r="C3" s="20">
        <v>150</v>
      </c>
      <c r="D3" s="62">
        <f>7.46/200*C3</f>
        <v>5.5949999999999998</v>
      </c>
      <c r="E3" s="62">
        <f>7.44/200*C3</f>
        <v>5.580000000000001</v>
      </c>
      <c r="F3" s="20">
        <f>35.72/200*C3</f>
        <v>26.789999999999996</v>
      </c>
      <c r="G3" s="20">
        <f>239.6/200*C3</f>
        <v>179.7</v>
      </c>
      <c r="H3" s="62">
        <f>1.3/200*C3</f>
        <v>0.97500000000000009</v>
      </c>
      <c r="I3" s="20">
        <v>235</v>
      </c>
    </row>
    <row r="4" spans="1:9" ht="18.75" customHeight="1" thickBot="1" x14ac:dyDescent="0.3">
      <c r="A4" s="87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8.75" customHeight="1" thickBot="1" x14ac:dyDescent="0.3">
      <c r="A5" s="77"/>
      <c r="B5" s="23" t="s">
        <v>70</v>
      </c>
      <c r="C5" s="20">
        <v>150</v>
      </c>
      <c r="D5" s="20">
        <f>2.8/200*C5</f>
        <v>2.0999999999999996</v>
      </c>
      <c r="E5" s="62">
        <f>2.5/200*C5</f>
        <v>1.875</v>
      </c>
      <c r="F5" s="20">
        <f>13.6/200*C5</f>
        <v>10.200000000000001</v>
      </c>
      <c r="G5" s="20">
        <f>88/200*C5</f>
        <v>66</v>
      </c>
      <c r="H5" s="62">
        <f>0.7/200*C5</f>
        <v>0.52499999999999991</v>
      </c>
      <c r="I5" s="20">
        <v>465</v>
      </c>
    </row>
    <row r="6" spans="1:9" ht="36" customHeight="1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33" customHeight="1" thickBot="1" x14ac:dyDescent="0.3">
      <c r="A7" s="87"/>
      <c r="B7" s="19" t="s">
        <v>197</v>
      </c>
      <c r="C7" s="59">
        <v>150</v>
      </c>
      <c r="D7" s="59">
        <f>5.04/200*C7</f>
        <v>3.7800000000000002</v>
      </c>
      <c r="E7" s="63">
        <f>2.86/200*C7</f>
        <v>2.145</v>
      </c>
      <c r="F7" s="59">
        <f>11.68/200*C7</f>
        <v>8.76</v>
      </c>
      <c r="G7" s="63">
        <f>145.7/200*C7</f>
        <v>109.27499999999999</v>
      </c>
      <c r="H7" s="59">
        <f>3.8/200*C7</f>
        <v>2.85</v>
      </c>
      <c r="I7" s="59">
        <v>114</v>
      </c>
    </row>
    <row r="8" spans="1:9" ht="18.75" customHeight="1" thickBot="1" x14ac:dyDescent="0.3">
      <c r="A8" s="87"/>
      <c r="B8" s="19" t="s">
        <v>181</v>
      </c>
      <c r="C8" s="20">
        <v>60</v>
      </c>
      <c r="D8" s="20">
        <f>13.3/70*C8</f>
        <v>11.4</v>
      </c>
      <c r="E8" s="20">
        <f>11.9/70*C8</f>
        <v>10.200000000000001</v>
      </c>
      <c r="F8" s="20">
        <f>1.75/70*C8</f>
        <v>1.5</v>
      </c>
      <c r="G8" s="20">
        <f>170.1/70*C8</f>
        <v>145.79999999999998</v>
      </c>
      <c r="H8" s="20">
        <v>0</v>
      </c>
      <c r="I8" s="20">
        <v>346</v>
      </c>
    </row>
    <row r="9" spans="1:9" ht="18.75" customHeight="1" thickBot="1" x14ac:dyDescent="0.3">
      <c r="A9" s="87"/>
      <c r="B9" s="19" t="s">
        <v>150</v>
      </c>
      <c r="C9" s="20">
        <v>120</v>
      </c>
      <c r="D9" s="20">
        <f>3/150*C9</f>
        <v>2.4</v>
      </c>
      <c r="E9" s="20">
        <f>5.1/150*C9</f>
        <v>4.0799999999999992</v>
      </c>
      <c r="F9" s="20">
        <f>11.4/150*C9</f>
        <v>9.1199999999999992</v>
      </c>
      <c r="G9" s="20">
        <f>103.5/150*C9</f>
        <v>82.8</v>
      </c>
      <c r="H9" s="20">
        <f>17.5/150*C9</f>
        <v>14</v>
      </c>
      <c r="I9" s="20">
        <v>380</v>
      </c>
    </row>
    <row r="10" spans="1:9" ht="18.75" customHeight="1" thickBot="1" x14ac:dyDescent="0.3">
      <c r="A10" s="87"/>
      <c r="B10" s="25" t="s">
        <v>124</v>
      </c>
      <c r="C10" s="20">
        <v>150</v>
      </c>
      <c r="D10" s="20">
        <f>1.8/200*150</f>
        <v>1.35</v>
      </c>
      <c r="E10" s="20">
        <f>1.8/200*150</f>
        <v>1.35</v>
      </c>
      <c r="F10" s="20">
        <f>11/200*150</f>
        <v>8.25</v>
      </c>
      <c r="G10" s="20">
        <f>90/200*150</f>
        <v>67.5</v>
      </c>
      <c r="H10" s="20">
        <f>1/200*150</f>
        <v>0.75</v>
      </c>
      <c r="I10" s="20">
        <v>479</v>
      </c>
    </row>
    <row r="11" spans="1:9" ht="18.75" customHeight="1" thickBot="1" x14ac:dyDescent="0.3">
      <c r="A11" s="87"/>
      <c r="B11" s="9" t="s">
        <v>15</v>
      </c>
      <c r="C11" s="20">
        <v>20</v>
      </c>
      <c r="D11" s="20">
        <f>2.28/30*C11</f>
        <v>1.52</v>
      </c>
      <c r="E11" s="20">
        <f>0.24/30*C11</f>
        <v>0.16</v>
      </c>
      <c r="F11" s="20">
        <f>14.76/30*C11</f>
        <v>9.84</v>
      </c>
      <c r="G11" s="20">
        <f>70.2/30*C11</f>
        <v>46.800000000000004</v>
      </c>
      <c r="H11" s="20">
        <v>0</v>
      </c>
      <c r="I11" s="20">
        <v>573</v>
      </c>
    </row>
    <row r="12" spans="1:9" ht="18.75" customHeight="1" thickBot="1" x14ac:dyDescent="0.3">
      <c r="A12" s="77"/>
      <c r="B12" s="9" t="s">
        <v>16</v>
      </c>
      <c r="C12" s="20">
        <v>20</v>
      </c>
      <c r="D12" s="20">
        <f>2.4/30*C12</f>
        <v>1.6</v>
      </c>
      <c r="E12" s="20">
        <f>0.45/30*C12</f>
        <v>0.30000000000000004</v>
      </c>
      <c r="F12" s="20">
        <f>12.03/30*C12</f>
        <v>8.02</v>
      </c>
      <c r="G12" s="20">
        <f>61.8/30*C12</f>
        <v>41.2</v>
      </c>
      <c r="H12" s="20">
        <v>0</v>
      </c>
      <c r="I12" s="20">
        <v>574</v>
      </c>
    </row>
    <row r="13" spans="1:9" ht="18.75" customHeight="1" thickBot="1" x14ac:dyDescent="0.3">
      <c r="A13" s="76" t="s">
        <v>17</v>
      </c>
      <c r="B13" s="19" t="s">
        <v>161</v>
      </c>
      <c r="C13" s="20">
        <v>50</v>
      </c>
      <c r="D13" s="20">
        <f>7.8/60*C13</f>
        <v>6.5</v>
      </c>
      <c r="E13" s="62">
        <f>2.8/60*C13</f>
        <v>2.333333333333333</v>
      </c>
      <c r="F13" s="62">
        <f>21.7/60*C13</f>
        <v>18.083333333333332</v>
      </c>
      <c r="G13" s="20">
        <f>263.4/60*C13</f>
        <v>219.49999999999997</v>
      </c>
      <c r="H13" s="20">
        <v>0</v>
      </c>
      <c r="I13" s="20">
        <v>531</v>
      </c>
    </row>
    <row r="14" spans="1:9" ht="18.75" customHeight="1" thickBot="1" x14ac:dyDescent="0.3">
      <c r="A14" s="77"/>
      <c r="B14" s="25" t="s">
        <v>110</v>
      </c>
      <c r="C14" s="26">
        <v>150</v>
      </c>
      <c r="D14" s="26">
        <f>0.6/200*C14</f>
        <v>0.45</v>
      </c>
      <c r="E14" s="64">
        <f>0.1/200*C14</f>
        <v>7.4999999999999997E-2</v>
      </c>
      <c r="F14" s="64">
        <f>20.1/200*C14</f>
        <v>15.075000000000001</v>
      </c>
      <c r="G14" s="26">
        <f>84/200*C14</f>
        <v>63</v>
      </c>
      <c r="H14" s="26">
        <f>0.2/200*C14</f>
        <v>0.15</v>
      </c>
      <c r="I14" s="26">
        <v>495</v>
      </c>
    </row>
    <row r="15" spans="1:9" ht="18.75" customHeight="1" thickBot="1" x14ac:dyDescent="0.3">
      <c r="A15" s="76" t="s">
        <v>18</v>
      </c>
      <c r="B15" s="19" t="s">
        <v>74</v>
      </c>
      <c r="C15" s="20">
        <v>150</v>
      </c>
      <c r="D15" s="62">
        <f>22.3/200*C15</f>
        <v>16.725000000000001</v>
      </c>
      <c r="E15" s="62">
        <f>5.1/200*C15</f>
        <v>3.8249999999999997</v>
      </c>
      <c r="F15" s="62">
        <f>41.3/200*C15</f>
        <v>30.974999999999998</v>
      </c>
      <c r="G15" s="62">
        <f>300/200*C15</f>
        <v>225</v>
      </c>
      <c r="H15" s="62">
        <f>1/200*C15</f>
        <v>0.75</v>
      </c>
      <c r="I15" s="20" t="s">
        <v>182</v>
      </c>
    </row>
    <row r="16" spans="1:9" ht="18.75" customHeight="1" thickBot="1" x14ac:dyDescent="0.3">
      <c r="A16" s="87"/>
      <c r="B16" s="19" t="s">
        <v>84</v>
      </c>
      <c r="C16" s="20">
        <v>15</v>
      </c>
      <c r="D16" s="62">
        <f>1.49/20*C16</f>
        <v>1.1174999999999999</v>
      </c>
      <c r="E16" s="62">
        <f>0.15/20*C16</f>
        <v>0.11249999999999999</v>
      </c>
      <c r="F16" s="62">
        <f>9.15/20*C16</f>
        <v>6.8625000000000007</v>
      </c>
      <c r="G16" s="62">
        <f>43.98/20*C16</f>
        <v>32.984999999999999</v>
      </c>
      <c r="H16" s="20">
        <v>0</v>
      </c>
      <c r="I16" s="20">
        <v>140</v>
      </c>
    </row>
    <row r="17" spans="1:9" ht="18.75" customHeight="1" thickBot="1" x14ac:dyDescent="0.3">
      <c r="A17" s="87"/>
      <c r="B17" s="19" t="s">
        <v>69</v>
      </c>
      <c r="C17" s="20">
        <v>150</v>
      </c>
      <c r="D17" s="62">
        <f>0.3/200*150</f>
        <v>0.22500000000000001</v>
      </c>
      <c r="E17" s="62">
        <f>0.1/200*150</f>
        <v>7.4999999999999997E-2</v>
      </c>
      <c r="F17" s="62">
        <f>9.5/200*150</f>
        <v>7.125</v>
      </c>
      <c r="G17" s="62">
        <f>40/200*150</f>
        <v>30</v>
      </c>
      <c r="H17" s="62">
        <f>1/200*150</f>
        <v>0.75</v>
      </c>
      <c r="I17" s="20" t="s">
        <v>128</v>
      </c>
    </row>
    <row r="18" spans="1:9" ht="18.75" customHeight="1" thickBot="1" x14ac:dyDescent="0.3">
      <c r="A18" s="87"/>
      <c r="B18" s="19" t="s">
        <v>158</v>
      </c>
      <c r="C18" s="20">
        <v>100</v>
      </c>
      <c r="D18" s="20">
        <v>0.4</v>
      </c>
      <c r="E18" s="20">
        <v>0.4</v>
      </c>
      <c r="F18" s="20">
        <v>9.8000000000000007</v>
      </c>
      <c r="G18" s="20">
        <v>44</v>
      </c>
      <c r="H18" s="20">
        <v>7</v>
      </c>
      <c r="I18" s="20">
        <v>82</v>
      </c>
    </row>
    <row r="19" spans="1:9" ht="18.75" customHeight="1" thickBot="1" x14ac:dyDescent="0.3">
      <c r="A19" s="87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8.75" customHeight="1" thickBot="1" x14ac:dyDescent="0.3">
      <c r="A20" s="77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ht="32.25" customHeight="1" thickBot="1" x14ac:dyDescent="0.3">
      <c r="A21" s="56" t="s">
        <v>192</v>
      </c>
      <c r="B21" s="25"/>
      <c r="C21" s="56">
        <f t="shared" ref="C21:H21" si="0">SUM(C3:C20)</f>
        <v>1600</v>
      </c>
      <c r="D21" s="73">
        <f t="shared" si="0"/>
        <v>59.863581081081094</v>
      </c>
      <c r="E21" s="73">
        <f t="shared" si="0"/>
        <v>40.503265765765761</v>
      </c>
      <c r="F21" s="73">
        <f t="shared" si="0"/>
        <v>205.0175900900901</v>
      </c>
      <c r="G21" s="73">
        <f t="shared" si="0"/>
        <v>1580.4789189189187</v>
      </c>
      <c r="H21" s="73">
        <f t="shared" si="0"/>
        <v>29.75</v>
      </c>
      <c r="I21" s="26"/>
    </row>
  </sheetData>
  <mergeCells count="9">
    <mergeCell ref="I1:I2"/>
    <mergeCell ref="A3:A5"/>
    <mergeCell ref="A7:A12"/>
    <mergeCell ref="A13:A14"/>
    <mergeCell ref="A15:A20"/>
    <mergeCell ref="C1:C2"/>
    <mergeCell ref="D1:F1"/>
    <mergeCell ref="G1:G2"/>
    <mergeCell ref="H1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13" sqref="D13"/>
    </sheetView>
  </sheetViews>
  <sheetFormatPr defaultRowHeight="15" x14ac:dyDescent="0.25"/>
  <cols>
    <col min="1" max="1" width="13" customWidth="1"/>
    <col min="2" max="2" width="37.42578125" customWidth="1"/>
    <col min="3" max="6" width="11" customWidth="1"/>
    <col min="7" max="7" width="12.28515625" customWidth="1"/>
    <col min="8" max="9" width="11" customWidth="1"/>
  </cols>
  <sheetData>
    <row r="1" spans="1:9" ht="33.75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3" customHeight="1" thickBot="1" x14ac:dyDescent="0.3">
      <c r="A2" s="17" t="s">
        <v>20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.75" customHeight="1" thickBot="1" x14ac:dyDescent="0.3">
      <c r="A3" s="76" t="s">
        <v>24</v>
      </c>
      <c r="B3" s="19" t="s">
        <v>21</v>
      </c>
      <c r="C3" s="20">
        <v>150</v>
      </c>
      <c r="D3" s="62">
        <f>6.22/200*C3</f>
        <v>4.665</v>
      </c>
      <c r="E3" s="20">
        <f>6.6/200*C3</f>
        <v>4.95</v>
      </c>
      <c r="F3" s="20">
        <f>31.2/200*C3</f>
        <v>23.4</v>
      </c>
      <c r="G3" s="20">
        <f>209/200*C3</f>
        <v>156.75</v>
      </c>
      <c r="H3" s="65">
        <f>1.38/200*C3</f>
        <v>1.0349999999999999</v>
      </c>
      <c r="I3" s="20">
        <v>230</v>
      </c>
    </row>
    <row r="4" spans="1:9" ht="18.75" customHeight="1" thickBot="1" x14ac:dyDescent="0.3">
      <c r="A4" s="87"/>
      <c r="B4" s="25" t="s">
        <v>77</v>
      </c>
      <c r="C4" s="30">
        <v>25</v>
      </c>
      <c r="D4" s="64">
        <f>6.9/37*C4</f>
        <v>4.6621621621621623</v>
      </c>
      <c r="E4" s="64">
        <f>9/37*C4</f>
        <v>6.0810810810810816</v>
      </c>
      <c r="F4" s="64">
        <f>10/37*C4</f>
        <v>6.756756756756757</v>
      </c>
      <c r="G4" s="64">
        <f>149/37*C4</f>
        <v>100.67567567567568</v>
      </c>
      <c r="H4" s="64">
        <f>0.1/37*C4</f>
        <v>6.7567567567567571E-2</v>
      </c>
      <c r="I4" s="26">
        <v>63</v>
      </c>
    </row>
    <row r="5" spans="1:9" ht="18.75" customHeight="1" thickBot="1" x14ac:dyDescent="0.3">
      <c r="A5" s="77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7">
        <f>0.3/200*C5</f>
        <v>0.22500000000000001</v>
      </c>
      <c r="I5" s="7">
        <v>460</v>
      </c>
    </row>
    <row r="6" spans="1:9" ht="36.75" customHeight="1" thickBot="1" x14ac:dyDescent="0.3">
      <c r="A6" s="1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.75" customHeight="1" thickBot="1" x14ac:dyDescent="0.3">
      <c r="A7" s="76" t="s">
        <v>14</v>
      </c>
      <c r="B7" s="25" t="s">
        <v>186</v>
      </c>
      <c r="C7" s="26">
        <v>40</v>
      </c>
      <c r="D7" s="26">
        <f>0.87/60*C7</f>
        <v>0.58000000000000007</v>
      </c>
      <c r="E7" s="26">
        <f>3.6/60*C7</f>
        <v>2.4000000000000004</v>
      </c>
      <c r="F7" s="26">
        <f>5.04/60*C7</f>
        <v>3.3600000000000003</v>
      </c>
      <c r="G7" s="26">
        <f>56.4/60*C7</f>
        <v>37.599999999999994</v>
      </c>
      <c r="H7" s="26">
        <f>10.2/60*C7</f>
        <v>6.7999999999999989</v>
      </c>
      <c r="I7" s="41" t="s">
        <v>187</v>
      </c>
    </row>
    <row r="8" spans="1:9" ht="18.75" customHeight="1" thickBot="1" x14ac:dyDescent="0.3">
      <c r="A8" s="87"/>
      <c r="B8" s="35" t="s">
        <v>116</v>
      </c>
      <c r="C8" s="37">
        <v>150</v>
      </c>
      <c r="D8" s="37">
        <f>6.4/200*C8</f>
        <v>4.8</v>
      </c>
      <c r="E8" s="63">
        <f>8.34/200*C8</f>
        <v>6.2549999999999999</v>
      </c>
      <c r="F8" s="37">
        <f>1.32/200*C8</f>
        <v>0.99</v>
      </c>
      <c r="G8" s="37">
        <f>126/200*C8</f>
        <v>94.5</v>
      </c>
      <c r="H8" s="37">
        <f>0.88/200*C8</f>
        <v>0.66</v>
      </c>
      <c r="I8" s="37">
        <v>110</v>
      </c>
    </row>
    <row r="9" spans="1:9" ht="18.75" customHeight="1" thickBot="1" x14ac:dyDescent="0.3">
      <c r="A9" s="87"/>
      <c r="B9" s="19" t="s">
        <v>117</v>
      </c>
      <c r="C9" s="20">
        <v>50</v>
      </c>
      <c r="D9" s="62">
        <f>16.2/70*C9</f>
        <v>11.571428571428571</v>
      </c>
      <c r="E9" s="62">
        <f>12/70*C9</f>
        <v>8.5714285714285712</v>
      </c>
      <c r="F9" s="62">
        <f>0.3/70*C9</f>
        <v>0.2142857142857143</v>
      </c>
      <c r="G9" s="62">
        <f>122.5/70*C9</f>
        <v>87.5</v>
      </c>
      <c r="H9" s="62">
        <f>0.4/70*C9</f>
        <v>0.2857142857142857</v>
      </c>
      <c r="I9" s="20">
        <v>375</v>
      </c>
    </row>
    <row r="10" spans="1:9" ht="18.75" customHeight="1" thickBot="1" x14ac:dyDescent="0.3">
      <c r="A10" s="87"/>
      <c r="B10" s="19" t="s">
        <v>27</v>
      </c>
      <c r="C10" s="20">
        <v>120</v>
      </c>
      <c r="D10" s="20">
        <f>8.85/150*C10</f>
        <v>7.08</v>
      </c>
      <c r="E10" s="62">
        <f>6.61/150*C10</f>
        <v>5.2880000000000003</v>
      </c>
      <c r="F10" s="62">
        <f>39.21/150*C10</f>
        <v>31.368000000000002</v>
      </c>
      <c r="G10" s="20">
        <f>251.8/150*C10</f>
        <v>201.44</v>
      </c>
      <c r="H10" s="20">
        <v>0</v>
      </c>
      <c r="I10" s="20">
        <v>202</v>
      </c>
    </row>
    <row r="11" spans="1:9" ht="18.75" customHeight="1" thickBot="1" x14ac:dyDescent="0.3">
      <c r="A11" s="87"/>
      <c r="B11" s="19" t="s">
        <v>78</v>
      </c>
      <c r="C11" s="20">
        <v>20</v>
      </c>
      <c r="D11" s="62">
        <f>1.22/30*C11</f>
        <v>0.81333333333333324</v>
      </c>
      <c r="E11" s="62">
        <f>7.32/30*C11</f>
        <v>4.8800000000000008</v>
      </c>
      <c r="F11" s="62">
        <f>4.73/30*C11</f>
        <v>3.1533333333333333</v>
      </c>
      <c r="G11" s="62">
        <f>26.91/30*C11</f>
        <v>17.940000000000001</v>
      </c>
      <c r="H11" s="62">
        <f>1.7/30*C11</f>
        <v>1.1333333333333333</v>
      </c>
      <c r="I11" s="20">
        <v>420</v>
      </c>
    </row>
    <row r="12" spans="1:9" ht="18.75" customHeight="1" thickBot="1" x14ac:dyDescent="0.3">
      <c r="A12" s="87"/>
      <c r="B12" s="19" t="s">
        <v>42</v>
      </c>
      <c r="C12" s="20">
        <v>150</v>
      </c>
      <c r="D12" s="62">
        <f>0.67/200*C12</f>
        <v>0.50250000000000006</v>
      </c>
      <c r="E12" s="62">
        <f>0.27/200*C12</f>
        <v>0.20250000000000001</v>
      </c>
      <c r="F12" s="62">
        <f>18.3/200*C12</f>
        <v>13.725</v>
      </c>
      <c r="G12" s="62">
        <f>78/200*C12</f>
        <v>58.5</v>
      </c>
      <c r="H12" s="62">
        <f>80/200*C12</f>
        <v>60</v>
      </c>
      <c r="I12" s="20">
        <v>496</v>
      </c>
    </row>
    <row r="13" spans="1:9" ht="18.75" customHeight="1" thickBot="1" x14ac:dyDescent="0.3">
      <c r="A13" s="87"/>
      <c r="B13" s="25"/>
      <c r="C13" s="26"/>
      <c r="D13" s="26"/>
      <c r="E13" s="26"/>
      <c r="F13" s="26"/>
      <c r="G13" s="26"/>
      <c r="H13" s="26"/>
      <c r="I13" s="26"/>
    </row>
    <row r="14" spans="1:9" ht="18.75" customHeight="1" thickBot="1" x14ac:dyDescent="0.3">
      <c r="A14" s="87"/>
      <c r="B14" s="9" t="s">
        <v>15</v>
      </c>
      <c r="C14" s="20">
        <v>20</v>
      </c>
      <c r="D14" s="20">
        <f>2.28/30*C14</f>
        <v>1.52</v>
      </c>
      <c r="E14" s="20">
        <f>0.24/30*C14</f>
        <v>0.16</v>
      </c>
      <c r="F14" s="20">
        <f>14.76/30*C14</f>
        <v>9.84</v>
      </c>
      <c r="G14" s="20">
        <f>70.2/30*C14</f>
        <v>46.800000000000004</v>
      </c>
      <c r="H14" s="20">
        <v>0</v>
      </c>
      <c r="I14" s="20">
        <v>573</v>
      </c>
    </row>
    <row r="15" spans="1:9" ht="18.75" customHeight="1" thickBot="1" x14ac:dyDescent="0.3">
      <c r="A15" s="77"/>
      <c r="B15" s="9" t="s">
        <v>16</v>
      </c>
      <c r="C15" s="20">
        <v>20</v>
      </c>
      <c r="D15" s="20">
        <f>2.4/30*C15</f>
        <v>1.6</v>
      </c>
      <c r="E15" s="20">
        <f>0.45/30*C15</f>
        <v>0.30000000000000004</v>
      </c>
      <c r="F15" s="20">
        <f>12.03/30*C15</f>
        <v>8.02</v>
      </c>
      <c r="G15" s="20">
        <f>61.8/30*C15</f>
        <v>41.2</v>
      </c>
      <c r="H15" s="20">
        <v>0</v>
      </c>
      <c r="I15" s="20">
        <v>574</v>
      </c>
    </row>
    <row r="16" spans="1:9" ht="18.75" customHeight="1" thickBot="1" x14ac:dyDescent="0.3">
      <c r="A16" s="76" t="s">
        <v>23</v>
      </c>
      <c r="B16" s="19" t="s">
        <v>118</v>
      </c>
      <c r="C16" s="20">
        <v>150</v>
      </c>
      <c r="D16" s="62">
        <f>5.8/200*C16</f>
        <v>4.3499999999999996</v>
      </c>
      <c r="E16" s="62">
        <f>5.3/200*C16</f>
        <v>3.9750000000000001</v>
      </c>
      <c r="F16" s="62">
        <f>9.1/200*C16</f>
        <v>6.8250000000000002</v>
      </c>
      <c r="G16" s="62">
        <f>108/200*C16</f>
        <v>81</v>
      </c>
      <c r="H16" s="62">
        <f>1.4/200*C16</f>
        <v>1.0499999999999998</v>
      </c>
      <c r="I16" s="20">
        <v>469</v>
      </c>
    </row>
    <row r="17" spans="1:9" ht="18.75" customHeight="1" thickBot="1" x14ac:dyDescent="0.3">
      <c r="A17" s="77"/>
      <c r="B17" s="19" t="s">
        <v>201</v>
      </c>
      <c r="C17" s="20">
        <v>50</v>
      </c>
      <c r="D17" s="62">
        <f>4.3/60*C17</f>
        <v>3.5833333333333335</v>
      </c>
      <c r="E17" s="62">
        <f>8/60*C17</f>
        <v>6.666666666666667</v>
      </c>
      <c r="F17" s="62">
        <f>28.8/60*C17</f>
        <v>24.000000000000004</v>
      </c>
      <c r="G17" s="62">
        <f>205/60*C17</f>
        <v>170.83333333333331</v>
      </c>
      <c r="H17" s="20">
        <v>0</v>
      </c>
      <c r="I17" s="20">
        <v>543</v>
      </c>
    </row>
    <row r="18" spans="1:9" ht="18.75" customHeight="1" thickBot="1" x14ac:dyDescent="0.3">
      <c r="A18" s="76" t="s">
        <v>18</v>
      </c>
      <c r="B18" s="25" t="s">
        <v>119</v>
      </c>
      <c r="C18" s="20">
        <v>150</v>
      </c>
      <c r="D18" s="20">
        <f>7.16/200*C18</f>
        <v>5.37</v>
      </c>
      <c r="E18" s="20">
        <f>7.76/200*C18</f>
        <v>5.82</v>
      </c>
      <c r="F18" s="20">
        <f>6/200*C18</f>
        <v>4.5</v>
      </c>
      <c r="G18" s="20">
        <f>121.6/200*C18</f>
        <v>91.2</v>
      </c>
      <c r="H18" s="20">
        <f>4.46/200*C18</f>
        <v>3.3450000000000002</v>
      </c>
      <c r="I18" s="20">
        <v>123</v>
      </c>
    </row>
    <row r="19" spans="1:9" ht="18.75" customHeight="1" thickBot="1" x14ac:dyDescent="0.3">
      <c r="A19" s="87"/>
      <c r="B19" s="19" t="s">
        <v>76</v>
      </c>
      <c r="C19" s="20">
        <v>150</v>
      </c>
      <c r="D19" s="62">
        <f>0.3/200*C19</f>
        <v>0.22500000000000001</v>
      </c>
      <c r="E19" s="62">
        <f>0.1/200*C19</f>
        <v>7.4999999999999997E-2</v>
      </c>
      <c r="F19" s="62">
        <f>9.5/200*C19</f>
        <v>7.125</v>
      </c>
      <c r="G19" s="62">
        <f>49.2/200*C19</f>
        <v>36.900000000000006</v>
      </c>
      <c r="H19" s="62">
        <f>1/200*C19</f>
        <v>0.75</v>
      </c>
      <c r="I19" s="20">
        <v>459</v>
      </c>
    </row>
    <row r="20" spans="1:9" ht="18.75" customHeight="1" thickBot="1" x14ac:dyDescent="0.3">
      <c r="A20" s="87"/>
      <c r="B20" s="19" t="s">
        <v>158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8.75" customHeight="1" thickBot="1" x14ac:dyDescent="0.3">
      <c r="A21" s="87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9.5" customHeight="1" thickBot="1" x14ac:dyDescent="0.3">
      <c r="A22" s="77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ht="15" customHeight="1" x14ac:dyDescent="0.25">
      <c r="A23" s="76" t="s">
        <v>196</v>
      </c>
      <c r="B23" s="76"/>
      <c r="C23" s="76">
        <f t="shared" ref="C23:H23" si="0">SUM(C3:C22)</f>
        <v>1635</v>
      </c>
      <c r="D23" s="84">
        <f t="shared" si="0"/>
        <v>56.542757400257408</v>
      </c>
      <c r="E23" s="84">
        <f t="shared" si="0"/>
        <v>57.559676319176312</v>
      </c>
      <c r="F23" s="84">
        <f t="shared" si="0"/>
        <v>189.56237580437585</v>
      </c>
      <c r="G23" s="84">
        <f>SUM(G3:G22)</f>
        <v>1462.839009009009</v>
      </c>
      <c r="H23" s="84">
        <f t="shared" si="0"/>
        <v>84.351615186615177</v>
      </c>
      <c r="I23" s="76"/>
    </row>
    <row r="24" spans="1:9" ht="15" customHeight="1" thickBot="1" x14ac:dyDescent="0.3">
      <c r="A24" s="77"/>
      <c r="B24" s="77"/>
      <c r="C24" s="77"/>
      <c r="D24" s="86"/>
      <c r="E24" s="86"/>
      <c r="F24" s="86"/>
      <c r="G24" s="86"/>
      <c r="H24" s="86"/>
      <c r="I24" s="77"/>
    </row>
    <row r="25" spans="1:9" ht="1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7.25" x14ac:dyDescent="0.3">
      <c r="A26" s="27"/>
      <c r="B26" s="28"/>
      <c r="C26" s="28"/>
      <c r="D26" s="28"/>
      <c r="E26" s="28"/>
      <c r="F26" s="28"/>
      <c r="G26" s="28"/>
      <c r="H26" s="29"/>
      <c r="I26" s="29"/>
    </row>
    <row r="27" spans="1:9" x14ac:dyDescent="0.25">
      <c r="A27" s="14"/>
      <c r="B27" s="14"/>
      <c r="C27" s="14"/>
      <c r="D27" s="14"/>
      <c r="E27" s="14"/>
      <c r="F27" s="14"/>
      <c r="G27" s="14"/>
      <c r="H27" s="14"/>
      <c r="I27" s="14"/>
    </row>
  </sheetData>
  <mergeCells count="18">
    <mergeCell ref="A7:A15"/>
    <mergeCell ref="A3:A5"/>
    <mergeCell ref="A16:A17"/>
    <mergeCell ref="A18:A22"/>
    <mergeCell ref="C1:C2"/>
    <mergeCell ref="D1:F1"/>
    <mergeCell ref="G1:G2"/>
    <mergeCell ref="H1:H2"/>
    <mergeCell ref="I1:I2"/>
    <mergeCell ref="F23:F24"/>
    <mergeCell ref="G23:G24"/>
    <mergeCell ref="H23:H24"/>
    <mergeCell ref="I23:I24"/>
    <mergeCell ref="A23:A24"/>
    <mergeCell ref="B23:B24"/>
    <mergeCell ref="C23:C24"/>
    <mergeCell ref="D23:D24"/>
    <mergeCell ref="E23:E24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19" sqref="F19"/>
    </sheetView>
  </sheetViews>
  <sheetFormatPr defaultRowHeight="15" x14ac:dyDescent="0.25"/>
  <cols>
    <col min="1" max="1" width="12.28515625" customWidth="1"/>
    <col min="2" max="2" width="40" customWidth="1"/>
    <col min="3" max="6" width="10.85546875" customWidth="1"/>
    <col min="7" max="7" width="11.7109375" customWidth="1"/>
    <col min="8" max="8" width="11.85546875" customWidth="1"/>
    <col min="9" max="9" width="10.85546875" customWidth="1"/>
  </cols>
  <sheetData>
    <row r="1" spans="1:9" ht="33.7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27.75" customHeight="1" thickBot="1" x14ac:dyDescent="0.3">
      <c r="A2" s="45" t="s">
        <v>57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" customHeight="1" thickBot="1" x14ac:dyDescent="0.3">
      <c r="A3" s="76" t="s">
        <v>24</v>
      </c>
      <c r="B3" s="25" t="s">
        <v>82</v>
      </c>
      <c r="C3" s="26">
        <v>150</v>
      </c>
      <c r="D3" s="26">
        <f>4.8/200*C3</f>
        <v>3.6</v>
      </c>
      <c r="E3" s="26">
        <f>5/200*C3</f>
        <v>3.75</v>
      </c>
      <c r="F3" s="26">
        <f>16.4/200*C3</f>
        <v>12.299999999999999</v>
      </c>
      <c r="G3" s="26">
        <f>156/200*C3</f>
        <v>117</v>
      </c>
      <c r="H3" s="26">
        <f>0.9/200*C3</f>
        <v>0.67500000000000004</v>
      </c>
      <c r="I3" s="26">
        <v>140</v>
      </c>
    </row>
    <row r="4" spans="1:9" ht="18" customHeight="1" thickBot="1" x14ac:dyDescent="0.3">
      <c r="A4" s="87"/>
      <c r="B4" s="19" t="s">
        <v>68</v>
      </c>
      <c r="C4" s="21">
        <v>25</v>
      </c>
      <c r="D4" s="62">
        <f>1.6/37*C4</f>
        <v>1.0810810810810811</v>
      </c>
      <c r="E4" s="62">
        <f>11/37*C4</f>
        <v>7.4324324324324325</v>
      </c>
      <c r="F4" s="62">
        <f>10/37*C4</f>
        <v>6.756756756756757</v>
      </c>
      <c r="G4" s="62">
        <f>139/37*C4</f>
        <v>93.918918918918919</v>
      </c>
      <c r="H4" s="20">
        <v>0</v>
      </c>
      <c r="I4" s="20">
        <v>63</v>
      </c>
    </row>
    <row r="5" spans="1:9" ht="18" customHeight="1" thickBot="1" x14ac:dyDescent="0.3">
      <c r="A5" s="77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7">
        <f>0.3/200*C5</f>
        <v>0.22500000000000001</v>
      </c>
      <c r="I5" s="7">
        <v>460</v>
      </c>
    </row>
    <row r="6" spans="1:9" ht="35.25" customHeight="1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76" t="s">
        <v>14</v>
      </c>
      <c r="B7" s="19" t="s">
        <v>180</v>
      </c>
      <c r="C7" s="20">
        <v>150</v>
      </c>
      <c r="D7" s="20">
        <f>2.6/200*C7</f>
        <v>1.9500000000000002</v>
      </c>
      <c r="E7" s="20">
        <f>2.7/200*C7</f>
        <v>2.0250000000000004</v>
      </c>
      <c r="F7" s="20">
        <f>8.6/200*C7</f>
        <v>6.4499999999999993</v>
      </c>
      <c r="G7" s="20">
        <f>69/200*C7</f>
        <v>51.749999999999993</v>
      </c>
      <c r="H7" s="20">
        <f>6.5/200*C7</f>
        <v>4.875</v>
      </c>
      <c r="I7" s="20" t="s">
        <v>183</v>
      </c>
    </row>
    <row r="8" spans="1:9" ht="18" customHeight="1" thickBot="1" x14ac:dyDescent="0.3">
      <c r="A8" s="87"/>
      <c r="B8" s="19" t="s">
        <v>184</v>
      </c>
      <c r="C8" s="20">
        <v>150</v>
      </c>
      <c r="D8" s="62">
        <f>26.3/200*C8</f>
        <v>19.725000000000001</v>
      </c>
      <c r="E8" s="20">
        <f>25.4/200*C8</f>
        <v>19.05</v>
      </c>
      <c r="F8" s="20">
        <f>8/200*C8</f>
        <v>6</v>
      </c>
      <c r="G8" s="20">
        <f>368/200*C8</f>
        <v>276</v>
      </c>
      <c r="H8" s="20">
        <f>2.8/200*C8</f>
        <v>2.0999999999999996</v>
      </c>
      <c r="I8" s="20">
        <v>325</v>
      </c>
    </row>
    <row r="9" spans="1:9" ht="18" customHeight="1" thickBot="1" x14ac:dyDescent="0.3">
      <c r="A9" s="87"/>
      <c r="B9" s="19"/>
      <c r="C9" s="20"/>
      <c r="D9" s="20"/>
      <c r="E9" s="20"/>
      <c r="F9" s="20"/>
      <c r="G9" s="20"/>
      <c r="H9" s="20"/>
      <c r="I9" s="20"/>
    </row>
    <row r="10" spans="1:9" ht="18" customHeight="1" thickBot="1" x14ac:dyDescent="0.3">
      <c r="A10" s="87"/>
      <c r="B10" s="19"/>
      <c r="C10" s="20"/>
      <c r="D10" s="20"/>
      <c r="E10" s="20"/>
      <c r="F10" s="20"/>
      <c r="G10" s="20"/>
      <c r="H10" s="20"/>
      <c r="I10" s="20"/>
    </row>
    <row r="11" spans="1:9" ht="18" customHeight="1" thickBot="1" x14ac:dyDescent="0.3">
      <c r="A11" s="87"/>
      <c r="B11" s="25" t="s">
        <v>110</v>
      </c>
      <c r="C11" s="26">
        <v>150</v>
      </c>
      <c r="D11" s="26">
        <f>0.6/200*C11</f>
        <v>0.45</v>
      </c>
      <c r="E11" s="64">
        <f>0.1/200*C11</f>
        <v>7.4999999999999997E-2</v>
      </c>
      <c r="F11" s="64">
        <f>20.1/200*C11</f>
        <v>15.075000000000001</v>
      </c>
      <c r="G11" s="26">
        <f>84/200*C11</f>
        <v>63</v>
      </c>
      <c r="H11" s="26">
        <f>0.2/200*C11</f>
        <v>0.15</v>
      </c>
      <c r="I11" s="26">
        <v>495</v>
      </c>
    </row>
    <row r="12" spans="1:9" ht="18" customHeight="1" thickBot="1" x14ac:dyDescent="0.3">
      <c r="A12" s="87"/>
      <c r="B12" s="9" t="s">
        <v>15</v>
      </c>
      <c r="C12" s="20">
        <v>20</v>
      </c>
      <c r="D12" s="20">
        <f>2.28/30*C12</f>
        <v>1.52</v>
      </c>
      <c r="E12" s="20">
        <f>0.24/30*C12</f>
        <v>0.16</v>
      </c>
      <c r="F12" s="20">
        <f>14.76/30*C12</f>
        <v>9.84</v>
      </c>
      <c r="G12" s="20">
        <f>70.2/30*C12</f>
        <v>46.800000000000004</v>
      </c>
      <c r="H12" s="20">
        <v>0</v>
      </c>
      <c r="I12" s="20">
        <v>573</v>
      </c>
    </row>
    <row r="13" spans="1:9" ht="18" customHeight="1" thickBot="1" x14ac:dyDescent="0.3">
      <c r="A13" s="77"/>
      <c r="B13" s="9" t="s">
        <v>16</v>
      </c>
      <c r="C13" s="20">
        <v>20</v>
      </c>
      <c r="D13" s="20">
        <f>2.4/30*C13</f>
        <v>1.6</v>
      </c>
      <c r="E13" s="20">
        <f>0.45/30*C13</f>
        <v>0.30000000000000004</v>
      </c>
      <c r="F13" s="20">
        <f>12.03/30*C13</f>
        <v>8.02</v>
      </c>
      <c r="G13" s="20">
        <f>61.8/30*C13</f>
        <v>41.2</v>
      </c>
      <c r="H13" s="20">
        <v>0</v>
      </c>
      <c r="I13" s="20">
        <v>574</v>
      </c>
    </row>
    <row r="14" spans="1:9" ht="18" customHeight="1" thickBot="1" x14ac:dyDescent="0.3">
      <c r="A14" s="76" t="s">
        <v>17</v>
      </c>
      <c r="B14" s="54" t="s">
        <v>35</v>
      </c>
      <c r="C14" s="20">
        <v>150</v>
      </c>
      <c r="D14" s="20">
        <f>5.8/200*C14</f>
        <v>4.3499999999999996</v>
      </c>
      <c r="E14" s="20">
        <f>5/200*C14</f>
        <v>3.75</v>
      </c>
      <c r="F14" s="20">
        <f>8/200*C14</f>
        <v>6</v>
      </c>
      <c r="G14" s="20">
        <f>156/200*C14</f>
        <v>117</v>
      </c>
      <c r="H14" s="20">
        <f>1.4/200*C14</f>
        <v>1.0499999999999998</v>
      </c>
      <c r="I14" s="20">
        <v>470</v>
      </c>
    </row>
    <row r="15" spans="1:9" ht="18" customHeight="1" thickBot="1" x14ac:dyDescent="0.3">
      <c r="A15" s="77"/>
      <c r="B15" s="55" t="s">
        <v>34</v>
      </c>
      <c r="C15" s="58">
        <v>40</v>
      </c>
      <c r="D15" s="58">
        <v>3.9</v>
      </c>
      <c r="E15" s="58">
        <v>30.6</v>
      </c>
      <c r="F15" s="58">
        <v>62.5</v>
      </c>
      <c r="G15" s="58">
        <v>276</v>
      </c>
      <c r="H15" s="58">
        <v>0</v>
      </c>
      <c r="I15" s="58">
        <v>576</v>
      </c>
    </row>
    <row r="16" spans="1:9" ht="18" customHeight="1" thickBot="1" x14ac:dyDescent="0.3">
      <c r="A16" s="76" t="s">
        <v>18</v>
      </c>
      <c r="B16" s="25" t="s">
        <v>81</v>
      </c>
      <c r="C16" s="34">
        <v>150</v>
      </c>
      <c r="D16" s="34">
        <f>7.16/200*C16</f>
        <v>5.37</v>
      </c>
      <c r="E16" s="34">
        <f>7.76/200*C16</f>
        <v>5.82</v>
      </c>
      <c r="F16" s="34">
        <f>6/200*C16</f>
        <v>4.5</v>
      </c>
      <c r="G16" s="34">
        <f>121.6/200*C16</f>
        <v>91.2</v>
      </c>
      <c r="H16" s="72">
        <f>4.46/200*C16</f>
        <v>3.3450000000000002</v>
      </c>
      <c r="I16" s="34" t="s">
        <v>185</v>
      </c>
    </row>
    <row r="17" spans="1:9" ht="18" customHeight="1" thickBot="1" x14ac:dyDescent="0.3">
      <c r="A17" s="87"/>
      <c r="B17" s="19" t="s">
        <v>76</v>
      </c>
      <c r="C17" s="20">
        <v>150</v>
      </c>
      <c r="D17" s="62">
        <f>0.3/200*C17</f>
        <v>0.22500000000000001</v>
      </c>
      <c r="E17" s="62">
        <f>0.1/200*C17</f>
        <v>7.4999999999999997E-2</v>
      </c>
      <c r="F17" s="62">
        <f>9.5/200*C17</f>
        <v>7.125</v>
      </c>
      <c r="G17" s="62">
        <f>49.2/200*C17</f>
        <v>36.900000000000006</v>
      </c>
      <c r="H17" s="62">
        <f>1/200*C17</f>
        <v>0.75</v>
      </c>
      <c r="I17" s="20">
        <v>459</v>
      </c>
    </row>
    <row r="18" spans="1:9" ht="18" customHeight="1" thickBot="1" x14ac:dyDescent="0.3">
      <c r="A18" s="87"/>
      <c r="B18" s="19" t="s">
        <v>158</v>
      </c>
      <c r="C18" s="20">
        <v>100</v>
      </c>
      <c r="D18" s="20">
        <v>0.4</v>
      </c>
      <c r="E18" s="20">
        <v>0.4</v>
      </c>
      <c r="F18" s="20">
        <v>9.8000000000000007</v>
      </c>
      <c r="G18" s="20">
        <v>44</v>
      </c>
      <c r="H18" s="20">
        <v>7</v>
      </c>
      <c r="I18" s="20">
        <v>82</v>
      </c>
    </row>
    <row r="19" spans="1:9" ht="18" customHeight="1" thickBot="1" x14ac:dyDescent="0.3">
      <c r="A19" s="87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8" customHeight="1" thickBot="1" x14ac:dyDescent="0.3">
      <c r="A20" s="77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x14ac:dyDescent="0.25">
      <c r="A21" s="76" t="s">
        <v>52</v>
      </c>
      <c r="B21" s="88"/>
      <c r="C21" s="76">
        <f t="shared" ref="C21:H21" si="0">SUM(C3:C20)</f>
        <v>1545</v>
      </c>
      <c r="D21" s="84">
        <f t="shared" si="0"/>
        <v>48.991081081081084</v>
      </c>
      <c r="E21" s="84">
        <f t="shared" si="0"/>
        <v>74.972432432432441</v>
      </c>
      <c r="F21" s="84">
        <f t="shared" si="0"/>
        <v>190.8517567567568</v>
      </c>
      <c r="G21" s="84">
        <f t="shared" si="0"/>
        <v>1450.7689189189191</v>
      </c>
      <c r="H21" s="84">
        <f t="shared" si="0"/>
        <v>22.17</v>
      </c>
      <c r="I21" s="81"/>
    </row>
    <row r="22" spans="1:9" ht="15.75" thickBot="1" x14ac:dyDescent="0.3">
      <c r="A22" s="77"/>
      <c r="B22" s="89"/>
      <c r="C22" s="77"/>
      <c r="D22" s="86"/>
      <c r="E22" s="86"/>
      <c r="F22" s="86"/>
      <c r="G22" s="86"/>
      <c r="H22" s="86"/>
      <c r="I22" s="83"/>
    </row>
  </sheetData>
  <mergeCells count="18">
    <mergeCell ref="C1:C2"/>
    <mergeCell ref="D1:F1"/>
    <mergeCell ref="G1:G2"/>
    <mergeCell ref="H1:H2"/>
    <mergeCell ref="I1:I2"/>
    <mergeCell ref="G21:G22"/>
    <mergeCell ref="H21:H22"/>
    <mergeCell ref="I21:I22"/>
    <mergeCell ref="A3:A5"/>
    <mergeCell ref="A7:A13"/>
    <mergeCell ref="A14:A15"/>
    <mergeCell ref="A16:A20"/>
    <mergeCell ref="A21:A22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19" sqref="B19:I19"/>
    </sheetView>
  </sheetViews>
  <sheetFormatPr defaultRowHeight="15" x14ac:dyDescent="0.25"/>
  <cols>
    <col min="1" max="1" width="12.28515625" customWidth="1"/>
    <col min="2" max="2" width="38.42578125" customWidth="1"/>
    <col min="3" max="6" width="11" customWidth="1"/>
    <col min="7" max="7" width="12.28515625" customWidth="1"/>
    <col min="8" max="9" width="11" customWidth="1"/>
  </cols>
  <sheetData>
    <row r="1" spans="1:9" ht="33.75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0.75" customHeight="1" thickBot="1" x14ac:dyDescent="0.3">
      <c r="A2" s="17" t="s">
        <v>26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.75" customHeight="1" thickBot="1" x14ac:dyDescent="0.3">
      <c r="A3" s="76" t="s">
        <v>12</v>
      </c>
      <c r="B3" s="25" t="s">
        <v>82</v>
      </c>
      <c r="C3" s="26">
        <v>150</v>
      </c>
      <c r="D3" s="26">
        <f>4.8/200*C3</f>
        <v>3.6</v>
      </c>
      <c r="E3" s="26">
        <f>5/200*C3</f>
        <v>3.75</v>
      </c>
      <c r="F3" s="26">
        <f>16.4/200*C3</f>
        <v>12.299999999999999</v>
      </c>
      <c r="G3" s="26">
        <f>156/200*C3</f>
        <v>117</v>
      </c>
      <c r="H3" s="26">
        <f>0.9/200*C3</f>
        <v>0.67500000000000004</v>
      </c>
      <c r="I3" s="26">
        <v>140</v>
      </c>
    </row>
    <row r="4" spans="1:9" ht="17.25" thickBot="1" x14ac:dyDescent="0.3">
      <c r="A4" s="87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7.25" thickBot="1" x14ac:dyDescent="0.3">
      <c r="A5" s="77"/>
      <c r="B5" s="19" t="s">
        <v>67</v>
      </c>
      <c r="C5" s="21">
        <v>150</v>
      </c>
      <c r="D5" s="62">
        <f>3.3/200*C5</f>
        <v>2.4750000000000001</v>
      </c>
      <c r="E5" s="62">
        <f>2.9/200*C5</f>
        <v>2.1749999999999998</v>
      </c>
      <c r="F5" s="62">
        <f>13.8/200*C5</f>
        <v>10.350000000000001</v>
      </c>
      <c r="G5" s="62">
        <f>94/200*C5</f>
        <v>70.5</v>
      </c>
      <c r="H5" s="62">
        <f>0.7/200*C5</f>
        <v>0.52499999999999991</v>
      </c>
      <c r="I5" s="20">
        <v>462</v>
      </c>
    </row>
    <row r="6" spans="1:9" ht="32.25" customHeight="1" thickBot="1" x14ac:dyDescent="0.3">
      <c r="A6" s="1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9.75" customHeight="1" x14ac:dyDescent="0.25">
      <c r="A7" s="76" t="s">
        <v>14</v>
      </c>
      <c r="B7" s="88" t="s">
        <v>113</v>
      </c>
      <c r="C7" s="81">
        <v>40</v>
      </c>
      <c r="D7" s="90">
        <f>1.4/60*C7</f>
        <v>0.93333333333333324</v>
      </c>
      <c r="E7" s="90">
        <f>6.1/60*C7</f>
        <v>4.0666666666666664</v>
      </c>
      <c r="F7" s="90">
        <f>7.5/60*C7</f>
        <v>5</v>
      </c>
      <c r="G7" s="90">
        <f>91/60*C7</f>
        <v>60.666666666666664</v>
      </c>
      <c r="H7" s="90">
        <f>5.2/60*C7</f>
        <v>3.4666666666666668</v>
      </c>
      <c r="I7" s="81">
        <v>34</v>
      </c>
    </row>
    <row r="8" spans="1:9" ht="8.25" customHeight="1" thickBot="1" x14ac:dyDescent="0.3">
      <c r="A8" s="87"/>
      <c r="B8" s="89"/>
      <c r="C8" s="83"/>
      <c r="D8" s="91"/>
      <c r="E8" s="91"/>
      <c r="F8" s="91"/>
      <c r="G8" s="91"/>
      <c r="H8" s="91"/>
      <c r="I8" s="83"/>
    </row>
    <row r="9" spans="1:9" ht="17.25" thickBot="1" x14ac:dyDescent="0.3">
      <c r="A9" s="87"/>
      <c r="B9" s="19" t="s">
        <v>114</v>
      </c>
      <c r="C9" s="20">
        <v>150</v>
      </c>
      <c r="D9" s="20">
        <f>6/200*C9</f>
        <v>4.5</v>
      </c>
      <c r="E9" s="20">
        <f>18/200*C9</f>
        <v>13.5</v>
      </c>
      <c r="F9" s="20">
        <f>15.2/200*C9</f>
        <v>11.4</v>
      </c>
      <c r="G9" s="20">
        <f>247/200*C9</f>
        <v>185.25000000000003</v>
      </c>
      <c r="H9" s="20">
        <f>3.4/200*C9</f>
        <v>2.5500000000000003</v>
      </c>
      <c r="I9" s="20">
        <v>104</v>
      </c>
    </row>
    <row r="10" spans="1:9" ht="17.25" thickBot="1" x14ac:dyDescent="0.3">
      <c r="A10" s="87"/>
      <c r="B10" s="19" t="s">
        <v>115</v>
      </c>
      <c r="C10" s="20">
        <v>60</v>
      </c>
      <c r="D10" s="20">
        <f>13/100*C10</f>
        <v>7.8000000000000007</v>
      </c>
      <c r="E10" s="20">
        <f>0.5/100*C10</f>
        <v>0.3</v>
      </c>
      <c r="F10" s="20">
        <f>0.8/100*C10</f>
        <v>0.48</v>
      </c>
      <c r="G10" s="20">
        <f>102.6/100*C10</f>
        <v>61.56</v>
      </c>
      <c r="H10" s="20">
        <f>2.7/100*C10</f>
        <v>1.62</v>
      </c>
      <c r="I10" s="20">
        <v>297</v>
      </c>
    </row>
    <row r="11" spans="1:9" ht="17.25" thickBot="1" x14ac:dyDescent="0.3">
      <c r="A11" s="87"/>
      <c r="B11" s="22" t="s">
        <v>22</v>
      </c>
      <c r="C11" s="36">
        <v>120</v>
      </c>
      <c r="D11" s="36">
        <f>4.05/150*C11</f>
        <v>3.2399999999999998</v>
      </c>
      <c r="E11" s="36">
        <f>6/150*C11</f>
        <v>4.8</v>
      </c>
      <c r="F11" s="36">
        <f>8.7/150*C11</f>
        <v>6.9599999999999991</v>
      </c>
      <c r="G11" s="36">
        <f>105/150*C11</f>
        <v>84</v>
      </c>
      <c r="H11" s="36">
        <f>3.6/150*C11</f>
        <v>2.88</v>
      </c>
      <c r="I11" s="36">
        <v>377</v>
      </c>
    </row>
    <row r="12" spans="1:9" ht="17.25" thickBot="1" x14ac:dyDescent="0.3">
      <c r="A12" s="87"/>
      <c r="B12" s="25" t="s">
        <v>73</v>
      </c>
      <c r="C12" s="26">
        <v>150</v>
      </c>
      <c r="D12" s="26">
        <f>0.2/200*C12</f>
        <v>0.15</v>
      </c>
      <c r="E12" s="64">
        <f>0.1/200*C12</f>
        <v>7.4999999999999997E-2</v>
      </c>
      <c r="F12" s="64">
        <f>10.7/200*C12</f>
        <v>8.0250000000000004</v>
      </c>
      <c r="G12" s="64">
        <f>44/200*C12</f>
        <v>33</v>
      </c>
      <c r="H12" s="64">
        <f>7.5/200*C12</f>
        <v>5.625</v>
      </c>
      <c r="I12" s="26">
        <v>491</v>
      </c>
    </row>
    <row r="13" spans="1:9" ht="17.25" thickBot="1" x14ac:dyDescent="0.3">
      <c r="A13" s="87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7.25" thickBot="1" x14ac:dyDescent="0.3">
      <c r="A14" s="77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7.25" thickBot="1" x14ac:dyDescent="0.3">
      <c r="A15" s="76" t="s">
        <v>23</v>
      </c>
      <c r="B15" s="19" t="s">
        <v>69</v>
      </c>
      <c r="C15" s="20">
        <v>150</v>
      </c>
      <c r="D15" s="20">
        <f>0.3/200*C15</f>
        <v>0.22500000000000001</v>
      </c>
      <c r="E15" s="20">
        <f>0.1/200*C15</f>
        <v>7.4999999999999997E-2</v>
      </c>
      <c r="F15" s="20">
        <f>9.5/200*C15</f>
        <v>7.125</v>
      </c>
      <c r="G15" s="20">
        <f>40/200*C15</f>
        <v>30</v>
      </c>
      <c r="H15" s="20">
        <f>1/200*C15</f>
        <v>0.75</v>
      </c>
      <c r="I15" s="20" t="s">
        <v>128</v>
      </c>
    </row>
    <row r="16" spans="1:9" ht="16.5" customHeight="1" thickBot="1" x14ac:dyDescent="0.3">
      <c r="A16" s="77"/>
      <c r="B16" s="19" t="s">
        <v>129</v>
      </c>
      <c r="C16" s="20">
        <v>100</v>
      </c>
      <c r="D16" s="20">
        <v>9.6</v>
      </c>
      <c r="E16" s="20">
        <v>10</v>
      </c>
      <c r="F16" s="20">
        <v>14.3</v>
      </c>
      <c r="G16" s="20">
        <v>167</v>
      </c>
      <c r="H16" s="20">
        <v>0</v>
      </c>
      <c r="I16" s="20" t="s">
        <v>130</v>
      </c>
    </row>
    <row r="17" spans="1:9" ht="30" customHeight="1" thickBot="1" x14ac:dyDescent="0.3">
      <c r="A17" s="76" t="s">
        <v>18</v>
      </c>
      <c r="B17" s="19" t="s">
        <v>131</v>
      </c>
      <c r="C17" s="20">
        <v>120</v>
      </c>
      <c r="D17" s="20">
        <f>8.85/150*C17</f>
        <v>7.08</v>
      </c>
      <c r="E17" s="20">
        <f>6.61/150*C17</f>
        <v>5.2880000000000003</v>
      </c>
      <c r="F17" s="20">
        <f>39.21/150*C17</f>
        <v>31.368000000000002</v>
      </c>
      <c r="G17" s="20">
        <f>251.8/150*C17</f>
        <v>201.44</v>
      </c>
      <c r="H17" s="20">
        <v>0</v>
      </c>
      <c r="I17" s="20">
        <v>207</v>
      </c>
    </row>
    <row r="18" spans="1:9" ht="17.25" thickBot="1" x14ac:dyDescent="0.3">
      <c r="A18" s="87"/>
      <c r="B18" s="19"/>
      <c r="C18" s="20"/>
      <c r="D18" s="20"/>
      <c r="E18" s="20"/>
      <c r="F18" s="20"/>
      <c r="G18" s="20"/>
      <c r="H18" s="20"/>
      <c r="I18" s="20"/>
    </row>
    <row r="19" spans="1:9" ht="17.25" thickBot="1" x14ac:dyDescent="0.3">
      <c r="A19" s="87"/>
      <c r="B19" s="19" t="s">
        <v>69</v>
      </c>
      <c r="C19" s="20">
        <v>150</v>
      </c>
      <c r="D19" s="20">
        <f>0.3/200*C19</f>
        <v>0.22500000000000001</v>
      </c>
      <c r="E19" s="20">
        <f>0.1/200*C19</f>
        <v>7.4999999999999997E-2</v>
      </c>
      <c r="F19" s="20">
        <f>9.5/200*C19</f>
        <v>7.125</v>
      </c>
      <c r="G19" s="20">
        <f>40/200*C19</f>
        <v>30</v>
      </c>
      <c r="H19" s="20">
        <f>1/200*C19</f>
        <v>0.75</v>
      </c>
      <c r="I19" s="20" t="s">
        <v>128</v>
      </c>
    </row>
    <row r="20" spans="1:9" ht="17.25" thickBot="1" x14ac:dyDescent="0.3">
      <c r="A20" s="87"/>
      <c r="B20" s="19" t="s">
        <v>158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7.25" thickBot="1" x14ac:dyDescent="0.3">
      <c r="A21" s="87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7.25" thickBot="1" x14ac:dyDescent="0.3">
      <c r="A22" s="77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ht="15" customHeight="1" x14ac:dyDescent="0.25">
      <c r="A23" s="76" t="s">
        <v>195</v>
      </c>
      <c r="B23" s="76"/>
      <c r="C23" s="76">
        <f t="shared" ref="C23:H23" si="0">SUM(C3:C22)</f>
        <v>1645</v>
      </c>
      <c r="D23" s="84">
        <f t="shared" si="0"/>
        <v>48.048333333333339</v>
      </c>
      <c r="E23" s="84">
        <f t="shared" si="0"/>
        <v>52.954666666666661</v>
      </c>
      <c r="F23" s="84">
        <f t="shared" si="0"/>
        <v>178.95300000000003</v>
      </c>
      <c r="G23" s="84">
        <f>SUM(G3:G22)</f>
        <v>1399.3166666666668</v>
      </c>
      <c r="H23" s="84">
        <f t="shared" si="0"/>
        <v>27.841666666666665</v>
      </c>
      <c r="I23" s="76"/>
    </row>
    <row r="24" spans="1:9" ht="15" customHeight="1" thickBot="1" x14ac:dyDescent="0.3">
      <c r="A24" s="77"/>
      <c r="B24" s="77"/>
      <c r="C24" s="77"/>
      <c r="D24" s="86"/>
      <c r="E24" s="86"/>
      <c r="F24" s="86"/>
      <c r="G24" s="86"/>
      <c r="H24" s="86"/>
      <c r="I24" s="77"/>
    </row>
    <row r="25" spans="1:9" ht="1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5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</row>
  </sheetData>
  <mergeCells count="26">
    <mergeCell ref="G1:G2"/>
    <mergeCell ref="H1:H2"/>
    <mergeCell ref="I1:I2"/>
    <mergeCell ref="A7:A14"/>
    <mergeCell ref="A17:A22"/>
    <mergeCell ref="A15:A16"/>
    <mergeCell ref="C7:C8"/>
    <mergeCell ref="A3:A5"/>
    <mergeCell ref="D7:D8"/>
    <mergeCell ref="E7:E8"/>
    <mergeCell ref="F7:F8"/>
    <mergeCell ref="C1:C2"/>
    <mergeCell ref="D1:F1"/>
    <mergeCell ref="G7:G8"/>
    <mergeCell ref="H7:H8"/>
    <mergeCell ref="I7:I8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B7:B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5" sqref="B25"/>
    </sheetView>
  </sheetViews>
  <sheetFormatPr defaultRowHeight="15" x14ac:dyDescent="0.25"/>
  <cols>
    <col min="1" max="1" width="14" customWidth="1"/>
    <col min="2" max="2" width="39.7109375" customWidth="1"/>
    <col min="3" max="6" width="10.85546875" customWidth="1"/>
    <col min="7" max="7" width="12.42578125" customWidth="1"/>
    <col min="8" max="8" width="11.85546875" customWidth="1"/>
    <col min="9" max="9" width="10.85546875" customWidth="1"/>
  </cols>
  <sheetData>
    <row r="1" spans="1:9" ht="33.75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46.5" customHeight="1" thickBot="1" x14ac:dyDescent="0.3">
      <c r="A2" s="17" t="s">
        <v>30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7.100000000000001" customHeight="1" thickBot="1" x14ac:dyDescent="0.3">
      <c r="A3" s="76" t="s">
        <v>12</v>
      </c>
      <c r="B3" s="19" t="s">
        <v>106</v>
      </c>
      <c r="C3" s="20">
        <v>150</v>
      </c>
      <c r="D3" s="62">
        <f>6.08/200*C3</f>
        <v>4.5599999999999996</v>
      </c>
      <c r="E3" s="62">
        <f>6.6/200*C3</f>
        <v>4.95</v>
      </c>
      <c r="F3" s="62">
        <f>37.1/200*C3</f>
        <v>27.824999999999999</v>
      </c>
      <c r="G3" s="62">
        <f>232.2/200*C3</f>
        <v>174.15</v>
      </c>
      <c r="H3" s="62">
        <v>0</v>
      </c>
      <c r="I3" s="20">
        <v>233</v>
      </c>
    </row>
    <row r="4" spans="1:9" ht="18.75" customHeight="1" thickBot="1" x14ac:dyDescent="0.3">
      <c r="A4" s="87"/>
      <c r="B4" s="19" t="s">
        <v>66</v>
      </c>
      <c r="C4" s="21">
        <v>25</v>
      </c>
      <c r="D4" s="62">
        <v>1.08</v>
      </c>
      <c r="E4" s="62">
        <v>7.43</v>
      </c>
      <c r="F4" s="62">
        <v>9</v>
      </c>
      <c r="G4" s="62">
        <v>93.9</v>
      </c>
      <c r="H4" s="62">
        <v>0</v>
      </c>
      <c r="I4" s="20">
        <v>63</v>
      </c>
    </row>
    <row r="5" spans="1:9" ht="17.100000000000001" customHeight="1" thickBot="1" x14ac:dyDescent="0.3">
      <c r="A5" s="77"/>
      <c r="B5" s="23" t="s">
        <v>70</v>
      </c>
      <c r="C5" s="20">
        <v>150</v>
      </c>
      <c r="D5" s="62">
        <f>2.8/200*C5</f>
        <v>2.0999999999999996</v>
      </c>
      <c r="E5" s="62">
        <f>2.5/200*C5</f>
        <v>1.875</v>
      </c>
      <c r="F5" s="62">
        <f>13.6/200*C5</f>
        <v>10.200000000000001</v>
      </c>
      <c r="G5" s="62">
        <f>88/200*C5</f>
        <v>66</v>
      </c>
      <c r="H5" s="62">
        <f>0.7/200*C5</f>
        <v>0.52499999999999991</v>
      </c>
      <c r="I5" s="20">
        <v>465</v>
      </c>
    </row>
    <row r="6" spans="1:9" ht="30" customHeight="1" thickBot="1" x14ac:dyDescent="0.3">
      <c r="A6" s="1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1.25" customHeight="1" x14ac:dyDescent="0.25">
      <c r="A7" s="76" t="s">
        <v>14</v>
      </c>
      <c r="B7" s="88" t="s">
        <v>107</v>
      </c>
      <c r="C7" s="81">
        <v>80</v>
      </c>
      <c r="D7" s="81">
        <f>14.2/100*C7</f>
        <v>11.36</v>
      </c>
      <c r="E7" s="81">
        <f>3.66/100*C7</f>
        <v>2.9279999999999999</v>
      </c>
      <c r="F7" s="81">
        <f>3.48/100*C7</f>
        <v>2.7839999999999998</v>
      </c>
      <c r="G7" s="81">
        <f>51.6/100*C7</f>
        <v>41.28</v>
      </c>
      <c r="H7" s="81">
        <f>0.65/100*C7</f>
        <v>0.52</v>
      </c>
      <c r="I7" s="92" t="s">
        <v>132</v>
      </c>
    </row>
    <row r="8" spans="1:9" ht="7.5" customHeight="1" thickBot="1" x14ac:dyDescent="0.3">
      <c r="A8" s="87"/>
      <c r="B8" s="89"/>
      <c r="C8" s="83"/>
      <c r="D8" s="83"/>
      <c r="E8" s="83"/>
      <c r="F8" s="83"/>
      <c r="G8" s="83"/>
      <c r="H8" s="83"/>
      <c r="I8" s="93"/>
    </row>
    <row r="9" spans="1:9" ht="17.100000000000001" customHeight="1" thickBot="1" x14ac:dyDescent="0.3">
      <c r="A9" s="87"/>
      <c r="B9" s="19" t="s">
        <v>108</v>
      </c>
      <c r="C9" s="20">
        <v>150</v>
      </c>
      <c r="D9" s="20">
        <f>2.32/200*C9</f>
        <v>1.7399999999999998</v>
      </c>
      <c r="E9" s="20">
        <f>3.32/200*C9</f>
        <v>2.4900000000000002</v>
      </c>
      <c r="F9" s="20">
        <f>97.6/200*C9</f>
        <v>73.2</v>
      </c>
      <c r="G9" s="20">
        <f>78.2/200*C9</f>
        <v>58.650000000000006</v>
      </c>
      <c r="H9" s="20">
        <f>3/200*C9</f>
        <v>2.25</v>
      </c>
      <c r="I9" s="20">
        <v>129</v>
      </c>
    </row>
    <row r="10" spans="1:9" ht="17.100000000000001" customHeight="1" thickBot="1" x14ac:dyDescent="0.3">
      <c r="A10" s="87"/>
      <c r="B10" s="19" t="s">
        <v>109</v>
      </c>
      <c r="C10" s="20">
        <v>70</v>
      </c>
      <c r="D10" s="20">
        <f>11/100*C10</f>
        <v>7.7</v>
      </c>
      <c r="E10" s="20">
        <f>12.4/100*C10</f>
        <v>8.68</v>
      </c>
      <c r="F10" s="20">
        <f>4/100*C10</f>
        <v>2.8000000000000003</v>
      </c>
      <c r="G10" s="20">
        <f>173/100*C10</f>
        <v>121.1</v>
      </c>
      <c r="H10" s="20">
        <f>7.2/100*C10</f>
        <v>5.0400000000000009</v>
      </c>
      <c r="I10" s="20">
        <v>333</v>
      </c>
    </row>
    <row r="11" spans="1:9" ht="17.100000000000001" customHeight="1" thickBot="1" x14ac:dyDescent="0.3">
      <c r="A11" s="87"/>
      <c r="B11" s="19" t="s">
        <v>133</v>
      </c>
      <c r="C11" s="20">
        <v>20</v>
      </c>
      <c r="D11" s="62">
        <f>0.58/30*C11</f>
        <v>0.3866666666666666</v>
      </c>
      <c r="E11" s="62">
        <f>3.69/30*C11</f>
        <v>2.46</v>
      </c>
      <c r="F11" s="62">
        <f>1.61/30*C11</f>
        <v>1.0733333333333333</v>
      </c>
      <c r="G11" s="62">
        <f>12.6/30*C11</f>
        <v>8.4</v>
      </c>
      <c r="H11" s="62">
        <v>0</v>
      </c>
      <c r="I11" s="20" t="s">
        <v>134</v>
      </c>
    </row>
    <row r="12" spans="1:9" ht="17.100000000000001" customHeight="1" thickBot="1" x14ac:dyDescent="0.3">
      <c r="A12" s="87"/>
      <c r="B12" s="19" t="s">
        <v>135</v>
      </c>
      <c r="C12" s="20">
        <v>150</v>
      </c>
      <c r="D12" s="20">
        <f>0.3/200*C12</f>
        <v>0.22500000000000001</v>
      </c>
      <c r="E12" s="20">
        <f>0.3/200*C12</f>
        <v>0.22500000000000001</v>
      </c>
      <c r="F12" s="20">
        <f>37.1/200*C12</f>
        <v>27.824999999999999</v>
      </c>
      <c r="G12" s="20">
        <f>152/200*C12</f>
        <v>114</v>
      </c>
      <c r="H12" s="20">
        <f>1/200*C12</f>
        <v>0.75</v>
      </c>
      <c r="I12" s="20">
        <v>493</v>
      </c>
    </row>
    <row r="13" spans="1:9" ht="17.100000000000001" customHeight="1" thickBot="1" x14ac:dyDescent="0.3">
      <c r="A13" s="87"/>
      <c r="B13" s="19"/>
      <c r="C13" s="20"/>
      <c r="D13" s="20"/>
      <c r="E13" s="20"/>
      <c r="F13" s="20"/>
      <c r="G13" s="20"/>
      <c r="H13" s="20"/>
      <c r="I13" s="20"/>
    </row>
    <row r="14" spans="1:9" ht="17.100000000000001" customHeight="1" thickBot="1" x14ac:dyDescent="0.3">
      <c r="A14" s="87"/>
      <c r="B14" s="9" t="s">
        <v>15</v>
      </c>
      <c r="C14" s="20">
        <v>20</v>
      </c>
      <c r="D14" s="20">
        <f>2.28/30*C14</f>
        <v>1.52</v>
      </c>
      <c r="E14" s="20">
        <f>0.24/30*C14</f>
        <v>0.16</v>
      </c>
      <c r="F14" s="20">
        <f>14.76/30*C14</f>
        <v>9.84</v>
      </c>
      <c r="G14" s="20">
        <f>70.2/30*C14</f>
        <v>46.800000000000004</v>
      </c>
      <c r="H14" s="20">
        <v>0</v>
      </c>
      <c r="I14" s="20">
        <v>573</v>
      </c>
    </row>
    <row r="15" spans="1:9" ht="17.100000000000001" customHeight="1" thickBot="1" x14ac:dyDescent="0.3">
      <c r="A15" s="77"/>
      <c r="B15" s="9" t="s">
        <v>16</v>
      </c>
      <c r="C15" s="20">
        <v>20</v>
      </c>
      <c r="D15" s="20">
        <f>2.4/30*C15</f>
        <v>1.6</v>
      </c>
      <c r="E15" s="20">
        <f>0.45/30*C15</f>
        <v>0.30000000000000004</v>
      </c>
      <c r="F15" s="20">
        <f>12.03/30*C15</f>
        <v>8.02</v>
      </c>
      <c r="G15" s="20">
        <f>61.8/30*C15</f>
        <v>41.2</v>
      </c>
      <c r="H15" s="20">
        <v>0</v>
      </c>
      <c r="I15" s="20">
        <v>574</v>
      </c>
    </row>
    <row r="16" spans="1:9" ht="17.25" customHeight="1" thickBot="1" x14ac:dyDescent="0.3">
      <c r="A16" s="76" t="s">
        <v>17</v>
      </c>
      <c r="B16" s="23" t="s">
        <v>110</v>
      </c>
      <c r="C16" s="20">
        <v>150</v>
      </c>
      <c r="D16" s="62">
        <f>0.6/200*C16</f>
        <v>0.45</v>
      </c>
      <c r="E16" s="62">
        <f>0.1/200*C16</f>
        <v>7.4999999999999997E-2</v>
      </c>
      <c r="F16" s="62">
        <f>20.1/200*C16</f>
        <v>15.075000000000001</v>
      </c>
      <c r="G16" s="62">
        <f>84/200*C16</f>
        <v>63</v>
      </c>
      <c r="H16" s="20">
        <f>0.2/200*C16</f>
        <v>0.15</v>
      </c>
      <c r="I16" s="20">
        <v>495</v>
      </c>
    </row>
    <row r="17" spans="1:9" ht="17.100000000000001" customHeight="1" thickBot="1" x14ac:dyDescent="0.3">
      <c r="A17" s="77"/>
      <c r="B17" s="23" t="s">
        <v>111</v>
      </c>
      <c r="C17" s="20">
        <v>50</v>
      </c>
      <c r="D17" s="62">
        <f>3.3/60*C17</f>
        <v>2.75</v>
      </c>
      <c r="E17" s="62">
        <f>1.77/60*C17</f>
        <v>1.4750000000000001</v>
      </c>
      <c r="F17" s="62">
        <f>20.9/60*C17</f>
        <v>17.416666666666668</v>
      </c>
      <c r="G17" s="62">
        <f>113/60*C17</f>
        <v>94.166666666666671</v>
      </c>
      <c r="H17" s="20">
        <v>0</v>
      </c>
      <c r="I17" s="20">
        <v>529</v>
      </c>
    </row>
    <row r="18" spans="1:9" ht="17.100000000000001" customHeight="1" thickBot="1" x14ac:dyDescent="0.3">
      <c r="A18" s="76" t="s">
        <v>18</v>
      </c>
      <c r="B18" s="23" t="s">
        <v>112</v>
      </c>
      <c r="C18" s="20">
        <v>150</v>
      </c>
      <c r="D18" s="20">
        <f>4.8/200*C18</f>
        <v>3.6</v>
      </c>
      <c r="E18" s="20">
        <f>5/200*C18</f>
        <v>3.75</v>
      </c>
      <c r="F18" s="20">
        <f>16.4/200*C18</f>
        <v>12.299999999999999</v>
      </c>
      <c r="G18" s="20">
        <f>156/200*C18</f>
        <v>117</v>
      </c>
      <c r="H18" s="20">
        <f>0.9/200*C18</f>
        <v>0.67500000000000004</v>
      </c>
      <c r="I18" s="20">
        <v>140</v>
      </c>
    </row>
    <row r="19" spans="1:9" ht="17.100000000000001" customHeight="1" thickBot="1" x14ac:dyDescent="0.3">
      <c r="A19" s="87"/>
      <c r="B19" s="19" t="s">
        <v>75</v>
      </c>
      <c r="C19" s="20">
        <v>15</v>
      </c>
      <c r="D19" s="62">
        <f>1.49/20*C19</f>
        <v>1.1174999999999999</v>
      </c>
      <c r="E19" s="62">
        <f>0.15/20*C19</f>
        <v>0.11249999999999999</v>
      </c>
      <c r="F19" s="62">
        <f>9.15/20*C19</f>
        <v>6.8625000000000007</v>
      </c>
      <c r="G19" s="62">
        <f>43.98/20*C19</f>
        <v>32.984999999999999</v>
      </c>
      <c r="H19" s="20">
        <v>0</v>
      </c>
      <c r="I19" s="20" t="s">
        <v>54</v>
      </c>
    </row>
    <row r="20" spans="1:9" ht="17.100000000000001" customHeight="1" thickBot="1" x14ac:dyDescent="0.3">
      <c r="A20" s="87"/>
      <c r="B20" s="19" t="s">
        <v>158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7.100000000000001" customHeight="1" thickBot="1" x14ac:dyDescent="0.3">
      <c r="A21" s="87"/>
      <c r="B21" s="19" t="s">
        <v>69</v>
      </c>
      <c r="C21" s="20">
        <v>150</v>
      </c>
      <c r="D21" s="20">
        <f>0.3/200*C21</f>
        <v>0.22500000000000001</v>
      </c>
      <c r="E21" s="20">
        <f>0.1/200*C21</f>
        <v>7.4999999999999997E-2</v>
      </c>
      <c r="F21" s="20">
        <f>9.5/200*C21</f>
        <v>7.125</v>
      </c>
      <c r="G21" s="20">
        <f>40/200*C21</f>
        <v>30</v>
      </c>
      <c r="H21" s="20">
        <f>1/200*C21</f>
        <v>0.75</v>
      </c>
      <c r="I21" s="20" t="s">
        <v>128</v>
      </c>
    </row>
    <row r="22" spans="1:9" ht="17.100000000000001" customHeight="1" thickBot="1" x14ac:dyDescent="0.3">
      <c r="A22" s="87"/>
      <c r="B22" s="9" t="s">
        <v>15</v>
      </c>
      <c r="C22" s="20">
        <v>20</v>
      </c>
      <c r="D22" s="20">
        <f>2.28/30*C22</f>
        <v>1.52</v>
      </c>
      <c r="E22" s="20">
        <f>0.24/30*C22</f>
        <v>0.16</v>
      </c>
      <c r="F22" s="20">
        <f>14.76/30*C22</f>
        <v>9.84</v>
      </c>
      <c r="G22" s="20">
        <f>70.2/30*C22</f>
        <v>46.800000000000004</v>
      </c>
      <c r="H22" s="20">
        <v>0</v>
      </c>
      <c r="I22" s="20">
        <v>573</v>
      </c>
    </row>
    <row r="23" spans="1:9" ht="17.100000000000001" customHeight="1" thickBot="1" x14ac:dyDescent="0.3">
      <c r="A23" s="77"/>
      <c r="B23" s="9" t="s">
        <v>16</v>
      </c>
      <c r="C23" s="20">
        <v>20</v>
      </c>
      <c r="D23" s="20">
        <f>2.4/30*C23</f>
        <v>1.6</v>
      </c>
      <c r="E23" s="20">
        <f>0.45/30*C23</f>
        <v>0.30000000000000004</v>
      </c>
      <c r="F23" s="20">
        <f>12.03/30*C23</f>
        <v>8.02</v>
      </c>
      <c r="G23" s="20">
        <f>61.8/30*C23</f>
        <v>41.2</v>
      </c>
      <c r="H23" s="20">
        <v>0</v>
      </c>
      <c r="I23" s="20">
        <v>574</v>
      </c>
    </row>
    <row r="24" spans="1:9" ht="32.25" customHeight="1" thickBot="1" x14ac:dyDescent="0.3">
      <c r="A24" s="17" t="s">
        <v>28</v>
      </c>
      <c r="B24" s="31"/>
      <c r="C24" s="18">
        <f t="shared" ref="C24:H24" si="0">SUM(C3:C23)</f>
        <v>1590</v>
      </c>
      <c r="D24" s="67">
        <f t="shared" si="0"/>
        <v>44.43416666666667</v>
      </c>
      <c r="E24" s="67">
        <f t="shared" si="0"/>
        <v>37.945499999999988</v>
      </c>
      <c r="F24" s="67">
        <f t="shared" si="0"/>
        <v>269.00650000000002</v>
      </c>
      <c r="G24" s="67">
        <f t="shared" si="0"/>
        <v>1279.6316666666664</v>
      </c>
      <c r="H24" s="18">
        <f t="shared" si="0"/>
        <v>19.660000000000004</v>
      </c>
      <c r="I24" s="18"/>
    </row>
  </sheetData>
  <mergeCells count="17">
    <mergeCell ref="A16:A17"/>
    <mergeCell ref="A18:A23"/>
    <mergeCell ref="C1:C2"/>
    <mergeCell ref="D1:F1"/>
    <mergeCell ref="G1:G2"/>
    <mergeCell ref="H1:H2"/>
    <mergeCell ref="I1:I2"/>
    <mergeCell ref="B7:B8"/>
    <mergeCell ref="C7:C8"/>
    <mergeCell ref="A3:A5"/>
    <mergeCell ref="D7:D8"/>
    <mergeCell ref="E7:E8"/>
    <mergeCell ref="F7:F8"/>
    <mergeCell ref="G7:G8"/>
    <mergeCell ref="H7:H8"/>
    <mergeCell ref="A7:A15"/>
    <mergeCell ref="I7:I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18" sqref="E18"/>
    </sheetView>
  </sheetViews>
  <sheetFormatPr defaultRowHeight="15" x14ac:dyDescent="0.25"/>
  <cols>
    <col min="1" max="1" width="12.28515625" customWidth="1"/>
    <col min="2" max="2" width="38.85546875" customWidth="1"/>
    <col min="3" max="6" width="11" customWidth="1"/>
    <col min="7" max="7" width="12" customWidth="1"/>
    <col min="8" max="9" width="11" customWidth="1"/>
  </cols>
  <sheetData>
    <row r="1" spans="1:9" ht="33.75" thickBot="1" x14ac:dyDescent="0.3">
      <c r="A1" s="15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3" customHeight="1" thickBot="1" x14ac:dyDescent="0.3">
      <c r="A2" s="17" t="s">
        <v>61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7.25" thickBot="1" x14ac:dyDescent="0.3">
      <c r="A3" s="76" t="s">
        <v>24</v>
      </c>
      <c r="B3" s="19" t="s">
        <v>136</v>
      </c>
      <c r="C3" s="20">
        <v>150</v>
      </c>
      <c r="D3" s="62">
        <f>7.46/200*C3</f>
        <v>5.5949999999999998</v>
      </c>
      <c r="E3" s="62">
        <f>7.44/200*C3</f>
        <v>5.580000000000001</v>
      </c>
      <c r="F3" s="20">
        <f>35.72/200*C3</f>
        <v>26.789999999999996</v>
      </c>
      <c r="G3" s="20">
        <f>239.6/200*C3</f>
        <v>179.7</v>
      </c>
      <c r="H3" s="62">
        <f>1.3/200*C3</f>
        <v>0.97500000000000009</v>
      </c>
      <c r="I3" s="20">
        <v>235</v>
      </c>
    </row>
    <row r="4" spans="1:9" ht="17.25" thickBot="1" x14ac:dyDescent="0.3">
      <c r="A4" s="87"/>
      <c r="B4" s="25" t="s">
        <v>77</v>
      </c>
      <c r="C4" s="30">
        <v>25</v>
      </c>
      <c r="D4" s="64">
        <f>6.9/37*C4</f>
        <v>4.6621621621621623</v>
      </c>
      <c r="E4" s="64">
        <f>9/37*C4</f>
        <v>6.0810810810810816</v>
      </c>
      <c r="F4" s="64">
        <f>10/37*C4</f>
        <v>6.756756756756757</v>
      </c>
      <c r="G4" s="64">
        <f>149/37*C4</f>
        <v>100.67567567567568</v>
      </c>
      <c r="H4" s="64">
        <f>0.1/37*C4</f>
        <v>6.7567567567567571E-2</v>
      </c>
      <c r="I4" s="26">
        <v>63</v>
      </c>
    </row>
    <row r="5" spans="1:9" ht="16.5" thickBot="1" x14ac:dyDescent="0.3">
      <c r="A5" s="77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66">
        <f>0.3/200*C5</f>
        <v>0.22500000000000001</v>
      </c>
      <c r="I5" s="7">
        <v>460</v>
      </c>
    </row>
    <row r="6" spans="1:9" ht="17.25" thickBot="1" x14ac:dyDescent="0.3">
      <c r="A6" s="17" t="s">
        <v>198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76" t="s">
        <v>14</v>
      </c>
      <c r="B7" s="38" t="s">
        <v>102</v>
      </c>
      <c r="C7" s="37">
        <v>40</v>
      </c>
      <c r="D7" s="63">
        <f>1.9/60*C7</f>
        <v>1.2666666666666666</v>
      </c>
      <c r="E7" s="63">
        <f>8.9/60*C7</f>
        <v>5.9333333333333336</v>
      </c>
      <c r="F7" s="63">
        <f>7.7/60*C7</f>
        <v>5.1333333333333329</v>
      </c>
      <c r="G7" s="63">
        <f>70.8/60*C7</f>
        <v>47.199999999999996</v>
      </c>
      <c r="H7" s="63">
        <f>7/60*C7</f>
        <v>4.666666666666667</v>
      </c>
      <c r="I7" s="20">
        <v>150</v>
      </c>
    </row>
    <row r="8" spans="1:9" ht="19.5" customHeight="1" thickBot="1" x14ac:dyDescent="0.3">
      <c r="A8" s="87"/>
      <c r="B8" s="19" t="s">
        <v>79</v>
      </c>
      <c r="C8" s="20">
        <v>150</v>
      </c>
      <c r="D8" s="20">
        <f>1.86/200*C8</f>
        <v>1.3950000000000002</v>
      </c>
      <c r="E8" s="20">
        <f>3.78/200*C8</f>
        <v>2.835</v>
      </c>
      <c r="F8" s="20">
        <f>8.26/200*C8</f>
        <v>6.1949999999999994</v>
      </c>
      <c r="G8" s="20">
        <f>105.2/200*C8</f>
        <v>78.900000000000006</v>
      </c>
      <c r="H8" s="20">
        <f>6.32/200*C8</f>
        <v>4.74</v>
      </c>
      <c r="I8" s="20">
        <v>98</v>
      </c>
    </row>
    <row r="9" spans="1:9" ht="19.5" customHeight="1" thickBot="1" x14ac:dyDescent="0.3">
      <c r="A9" s="87"/>
      <c r="B9" s="39" t="s">
        <v>103</v>
      </c>
      <c r="C9" s="37">
        <v>80</v>
      </c>
      <c r="D9" s="37">
        <f>15.6/100*C9</f>
        <v>12.48</v>
      </c>
      <c r="E9" s="37">
        <f>7.52/100*C9</f>
        <v>6.0159999999999991</v>
      </c>
      <c r="F9" s="37">
        <f>6.08/100*C9</f>
        <v>4.8639999999999999</v>
      </c>
      <c r="G9" s="37">
        <f>154.4/100*C9</f>
        <v>123.52000000000001</v>
      </c>
      <c r="H9" s="37">
        <f>3.2/100*C9</f>
        <v>2.56</v>
      </c>
      <c r="I9" s="37">
        <v>356</v>
      </c>
    </row>
    <row r="10" spans="1:9" ht="19.5" customHeight="1" thickBot="1" x14ac:dyDescent="0.3">
      <c r="A10" s="87"/>
      <c r="B10" s="19" t="s">
        <v>104</v>
      </c>
      <c r="C10" s="20">
        <v>120</v>
      </c>
      <c r="D10" s="20">
        <f>5.55/150*C10</f>
        <v>4.4399999999999995</v>
      </c>
      <c r="E10" s="20">
        <f>4.95/150*C10</f>
        <v>3.96</v>
      </c>
      <c r="F10" s="20">
        <f>29.55/150*C10</f>
        <v>23.64</v>
      </c>
      <c r="G10" s="20">
        <f>184.5/150*C10</f>
        <v>147.6</v>
      </c>
      <c r="H10" s="20">
        <v>0</v>
      </c>
      <c r="I10" s="20">
        <v>256</v>
      </c>
    </row>
    <row r="11" spans="1:9" ht="19.5" customHeight="1" thickBot="1" x14ac:dyDescent="0.3">
      <c r="A11" s="87"/>
      <c r="B11" s="19" t="s">
        <v>73</v>
      </c>
      <c r="C11" s="20">
        <v>150</v>
      </c>
      <c r="D11" s="62">
        <f>0.2/200*C11</f>
        <v>0.15</v>
      </c>
      <c r="E11" s="62">
        <f>0.1/200*C11</f>
        <v>7.4999999999999997E-2</v>
      </c>
      <c r="F11" s="62">
        <f>10.7/200*C11</f>
        <v>8.0250000000000004</v>
      </c>
      <c r="G11" s="62">
        <f>44/200*C11</f>
        <v>33</v>
      </c>
      <c r="H11" s="62">
        <f>16.5/200*C11</f>
        <v>12.375</v>
      </c>
      <c r="I11" s="20">
        <v>491</v>
      </c>
    </row>
    <row r="12" spans="1:9" ht="19.5" customHeight="1" thickBot="1" x14ac:dyDescent="0.3">
      <c r="A12" s="87"/>
      <c r="B12" s="9" t="s">
        <v>15</v>
      </c>
      <c r="C12" s="20">
        <v>20</v>
      </c>
      <c r="D12" s="20">
        <f>2.28/30*C12</f>
        <v>1.52</v>
      </c>
      <c r="E12" s="20">
        <f>0.24/30*C12</f>
        <v>0.16</v>
      </c>
      <c r="F12" s="20">
        <f>14.76/30*C12</f>
        <v>9.84</v>
      </c>
      <c r="G12" s="20">
        <f>70.2/30*C12</f>
        <v>46.800000000000004</v>
      </c>
      <c r="H12" s="20">
        <v>0</v>
      </c>
      <c r="I12" s="20">
        <v>573</v>
      </c>
    </row>
    <row r="13" spans="1:9" ht="19.5" customHeight="1" thickBot="1" x14ac:dyDescent="0.3">
      <c r="A13" s="77"/>
      <c r="B13" s="9" t="s">
        <v>16</v>
      </c>
      <c r="C13" s="20">
        <v>20</v>
      </c>
      <c r="D13" s="20">
        <f>2.4/30*C13</f>
        <v>1.6</v>
      </c>
      <c r="E13" s="20">
        <f>0.45/30*C13</f>
        <v>0.30000000000000004</v>
      </c>
      <c r="F13" s="20">
        <f>12.03/30*C13</f>
        <v>8.02</v>
      </c>
      <c r="G13" s="20">
        <f>61.8/30*C13</f>
        <v>41.2</v>
      </c>
      <c r="H13" s="20">
        <v>0</v>
      </c>
      <c r="I13" s="20">
        <v>574</v>
      </c>
    </row>
    <row r="14" spans="1:9" ht="19.5" customHeight="1" thickBot="1" x14ac:dyDescent="0.3">
      <c r="A14" s="76" t="s">
        <v>17</v>
      </c>
      <c r="B14" s="54" t="s">
        <v>35</v>
      </c>
      <c r="C14" s="20">
        <v>150</v>
      </c>
      <c r="D14" s="20">
        <f>5.8/200*C14</f>
        <v>4.3499999999999996</v>
      </c>
      <c r="E14" s="20">
        <f>5/200*C14</f>
        <v>3.75</v>
      </c>
      <c r="F14" s="20">
        <f>8/200*C14</f>
        <v>6</v>
      </c>
      <c r="G14" s="20">
        <f>156/200*C14</f>
        <v>117</v>
      </c>
      <c r="H14" s="20">
        <f>1.4/200*C14</f>
        <v>1.0499999999999998</v>
      </c>
      <c r="I14" s="20">
        <v>470</v>
      </c>
    </row>
    <row r="15" spans="1:9" ht="19.5" customHeight="1" thickBot="1" x14ac:dyDescent="0.3">
      <c r="A15" s="77"/>
      <c r="B15" s="11" t="s">
        <v>188</v>
      </c>
      <c r="C15" s="20">
        <v>30</v>
      </c>
      <c r="D15" s="62">
        <f>1.6/45*C15</f>
        <v>1.0666666666666667</v>
      </c>
      <c r="E15" s="62">
        <f>3.8/45*C15</f>
        <v>2.5333333333333332</v>
      </c>
      <c r="F15" s="62">
        <f>20.2/45*C15</f>
        <v>13.466666666666667</v>
      </c>
      <c r="G15" s="62">
        <f>121/45*C15</f>
        <v>80.666666666666671</v>
      </c>
      <c r="H15" s="62">
        <f>0.1/45*C15</f>
        <v>6.6666666666666666E-2</v>
      </c>
      <c r="I15" s="20">
        <v>73</v>
      </c>
    </row>
    <row r="16" spans="1:9" ht="17.25" thickBot="1" x14ac:dyDescent="0.3">
      <c r="A16" s="76" t="s">
        <v>18</v>
      </c>
      <c r="B16" s="19" t="s">
        <v>105</v>
      </c>
      <c r="C16" s="20">
        <v>50</v>
      </c>
      <c r="D16" s="62">
        <f>13/70*C16</f>
        <v>9.2857142857142865</v>
      </c>
      <c r="E16" s="62">
        <f>0.5/70*C16</f>
        <v>0.35714285714285715</v>
      </c>
      <c r="F16" s="62">
        <f>0.8/70*C16</f>
        <v>0.5714285714285714</v>
      </c>
      <c r="G16" s="62">
        <f>102.6/70*C16</f>
        <v>73.285714285714278</v>
      </c>
      <c r="H16" s="62">
        <f>2.7/70*C16</f>
        <v>1.9285714285714288</v>
      </c>
      <c r="I16" s="20">
        <v>296</v>
      </c>
    </row>
    <row r="17" spans="1:9" ht="17.25" thickBot="1" x14ac:dyDescent="0.3">
      <c r="A17" s="87"/>
      <c r="B17" s="19" t="s">
        <v>90</v>
      </c>
      <c r="C17" s="20">
        <v>120</v>
      </c>
      <c r="D17" s="20">
        <f>4.35/150*C17</f>
        <v>3.4799999999999995</v>
      </c>
      <c r="E17" s="20">
        <f>8.1/150*C17</f>
        <v>6.4799999999999995</v>
      </c>
      <c r="F17" s="20">
        <f>16.2/150*C17</f>
        <v>12.959999999999999</v>
      </c>
      <c r="G17" s="20">
        <f>154.5/150*C17</f>
        <v>123.60000000000001</v>
      </c>
      <c r="H17" s="20">
        <f>21/150*C17</f>
        <v>16.8</v>
      </c>
      <c r="I17" s="20">
        <v>152</v>
      </c>
    </row>
    <row r="18" spans="1:9" ht="17.25" thickBot="1" x14ac:dyDescent="0.3">
      <c r="A18" s="87"/>
      <c r="B18" s="19" t="s">
        <v>76</v>
      </c>
      <c r="C18" s="20">
        <v>150</v>
      </c>
      <c r="D18" s="62">
        <f>0.3/200*C18</f>
        <v>0.22500000000000001</v>
      </c>
      <c r="E18" s="62">
        <f>0.1/200*C18</f>
        <v>7.4999999999999997E-2</v>
      </c>
      <c r="F18" s="62">
        <f>9.5/200*C18</f>
        <v>7.125</v>
      </c>
      <c r="G18" s="62">
        <f>49.2/200*C18</f>
        <v>36.900000000000006</v>
      </c>
      <c r="H18" s="62">
        <f>1/200*C18</f>
        <v>0.75</v>
      </c>
      <c r="I18" s="20">
        <v>459</v>
      </c>
    </row>
    <row r="19" spans="1:9" ht="17.25" thickBot="1" x14ac:dyDescent="0.3">
      <c r="A19" s="87"/>
      <c r="B19" s="19" t="s">
        <v>158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7.25" thickBot="1" x14ac:dyDescent="0.3">
      <c r="A20" s="87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7.25" thickBot="1" x14ac:dyDescent="0.3">
      <c r="A21" s="77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76" t="s">
        <v>62</v>
      </c>
      <c r="B22" s="94"/>
      <c r="C22" s="76">
        <f t="shared" ref="C22:H22" si="0">SUM(C3:C21)</f>
        <v>1645</v>
      </c>
      <c r="D22" s="84">
        <f t="shared" si="0"/>
        <v>56.736209781209787</v>
      </c>
      <c r="E22" s="84">
        <f t="shared" si="0"/>
        <v>46.070890604890593</v>
      </c>
      <c r="F22" s="84">
        <f t="shared" si="0"/>
        <v>185.67218532818538</v>
      </c>
      <c r="G22" s="84">
        <f>SUM(G3:G21)</f>
        <v>1470.0480566280567</v>
      </c>
      <c r="H22" s="84">
        <f t="shared" si="0"/>
        <v>55.204472329472338</v>
      </c>
      <c r="I22" s="76"/>
    </row>
    <row r="23" spans="1:9" ht="15.75" thickBot="1" x14ac:dyDescent="0.3">
      <c r="A23" s="77"/>
      <c r="B23" s="95"/>
      <c r="C23" s="77"/>
      <c r="D23" s="86"/>
      <c r="E23" s="86"/>
      <c r="F23" s="86"/>
      <c r="G23" s="86"/>
      <c r="H23" s="86"/>
      <c r="I23" s="77"/>
    </row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</sheetData>
  <mergeCells count="18">
    <mergeCell ref="I22:I23"/>
    <mergeCell ref="F22:F23"/>
    <mergeCell ref="G22:G23"/>
    <mergeCell ref="H22:H23"/>
    <mergeCell ref="A22:A23"/>
    <mergeCell ref="B22:B23"/>
    <mergeCell ref="C22:C23"/>
    <mergeCell ref="D22:D23"/>
    <mergeCell ref="E22:E23"/>
    <mergeCell ref="A16:A21"/>
    <mergeCell ref="A14:A15"/>
    <mergeCell ref="H1:H2"/>
    <mergeCell ref="I1:I2"/>
    <mergeCell ref="A3:A5"/>
    <mergeCell ref="A7:A13"/>
    <mergeCell ref="C1:C2"/>
    <mergeCell ref="D1:F1"/>
    <mergeCell ref="G1:G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4" sqref="D4"/>
    </sheetView>
  </sheetViews>
  <sheetFormatPr defaultRowHeight="15" x14ac:dyDescent="0.25"/>
  <cols>
    <col min="1" max="1" width="12.85546875" customWidth="1"/>
    <col min="2" max="2" width="41.7109375" customWidth="1"/>
    <col min="3" max="9" width="10.85546875" customWidth="1"/>
  </cols>
  <sheetData>
    <row r="1" spans="1:9" ht="35.25" customHeight="1" thickBot="1" x14ac:dyDescent="0.3">
      <c r="A1" s="1" t="s">
        <v>19</v>
      </c>
      <c r="B1" s="3" t="s">
        <v>2</v>
      </c>
      <c r="C1" s="99" t="s">
        <v>4</v>
      </c>
      <c r="D1" s="96" t="s">
        <v>5</v>
      </c>
      <c r="E1" s="97"/>
      <c r="F1" s="98"/>
      <c r="G1" s="99" t="s">
        <v>6</v>
      </c>
      <c r="H1" s="99" t="s">
        <v>7</v>
      </c>
      <c r="I1" s="99" t="s">
        <v>8</v>
      </c>
    </row>
    <row r="2" spans="1:9" ht="30.75" customHeight="1" thickBot="1" x14ac:dyDescent="0.3">
      <c r="A2" s="2" t="s">
        <v>32</v>
      </c>
      <c r="B2" s="4" t="s">
        <v>3</v>
      </c>
      <c r="C2" s="100"/>
      <c r="D2" s="6" t="s">
        <v>9</v>
      </c>
      <c r="E2" s="6" t="s">
        <v>10</v>
      </c>
      <c r="F2" s="6" t="s">
        <v>11</v>
      </c>
      <c r="G2" s="100"/>
      <c r="H2" s="100"/>
      <c r="I2" s="100"/>
    </row>
    <row r="3" spans="1:9" ht="18" customHeight="1" thickBot="1" x14ac:dyDescent="0.3">
      <c r="A3" s="99" t="s">
        <v>24</v>
      </c>
      <c r="B3" s="19" t="s">
        <v>137</v>
      </c>
      <c r="C3" s="20">
        <v>150</v>
      </c>
      <c r="D3" s="20">
        <f>7.16/200*C3</f>
        <v>5.37</v>
      </c>
      <c r="E3" s="20">
        <f>8.48/200*C3</f>
        <v>6.36</v>
      </c>
      <c r="F3" s="20">
        <f>29.14/200*C3</f>
        <v>21.855</v>
      </c>
      <c r="G3" s="20">
        <f>221.6/200*C3</f>
        <v>166.2</v>
      </c>
      <c r="H3" s="20">
        <f>1.52/200*C3</f>
        <v>1.1399999999999999</v>
      </c>
      <c r="I3" s="20">
        <v>234</v>
      </c>
    </row>
    <row r="4" spans="1:9" ht="18" customHeight="1" thickBot="1" x14ac:dyDescent="0.3">
      <c r="A4" s="101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8" customHeight="1" thickBot="1" x14ac:dyDescent="0.3">
      <c r="A5" s="100"/>
      <c r="B5" s="19" t="s">
        <v>67</v>
      </c>
      <c r="C5" s="21">
        <v>150</v>
      </c>
      <c r="D5" s="62">
        <f>3.3/200*C5</f>
        <v>2.4750000000000001</v>
      </c>
      <c r="E5" s="62">
        <f>2.9/200*C5</f>
        <v>2.1749999999999998</v>
      </c>
      <c r="F5" s="62">
        <f>13.8/200*C5</f>
        <v>10.350000000000001</v>
      </c>
      <c r="G5" s="62">
        <f>94/200*C5</f>
        <v>70.5</v>
      </c>
      <c r="H5" s="62">
        <f>0.7/200*C5</f>
        <v>0.52499999999999991</v>
      </c>
      <c r="I5" s="20">
        <v>462</v>
      </c>
    </row>
    <row r="6" spans="1:9" ht="37.5" customHeight="1" thickBot="1" x14ac:dyDescent="0.3">
      <c r="A6" s="2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7.25" customHeight="1" thickBot="1" x14ac:dyDescent="0.3">
      <c r="A7" s="99" t="s">
        <v>14</v>
      </c>
      <c r="B7" s="25" t="s">
        <v>98</v>
      </c>
      <c r="C7" s="26">
        <v>40</v>
      </c>
      <c r="D7" s="26">
        <f>0.48/60*C7</f>
        <v>0.32</v>
      </c>
      <c r="E7" s="26">
        <f>0.06/60*C7</f>
        <v>0.04</v>
      </c>
      <c r="F7" s="26">
        <f>1.02/60*C7</f>
        <v>0.68</v>
      </c>
      <c r="G7" s="26">
        <f>6.6/60*C7</f>
        <v>4.4000000000000004</v>
      </c>
      <c r="H7" s="26">
        <f>1.5/60*C7</f>
        <v>1</v>
      </c>
      <c r="I7" s="26">
        <v>149</v>
      </c>
    </row>
    <row r="8" spans="1:9" ht="18" customHeight="1" thickBot="1" x14ac:dyDescent="0.3">
      <c r="A8" s="101"/>
      <c r="B8" s="19" t="s">
        <v>99</v>
      </c>
      <c r="C8" s="20">
        <v>150</v>
      </c>
      <c r="D8" s="62">
        <f>7.16/200*C8</f>
        <v>5.37</v>
      </c>
      <c r="E8" s="62">
        <f>7.76/200*C8</f>
        <v>5.82</v>
      </c>
      <c r="F8" s="62">
        <f>6/200*C8</f>
        <v>4.5</v>
      </c>
      <c r="G8" s="62">
        <f>121.6/200*C8</f>
        <v>91.2</v>
      </c>
      <c r="H8" s="62">
        <f>4.46/200*C8</f>
        <v>3.3450000000000002</v>
      </c>
      <c r="I8" s="20">
        <v>123</v>
      </c>
    </row>
    <row r="9" spans="1:9" ht="18" customHeight="1" thickBot="1" x14ac:dyDescent="0.3">
      <c r="A9" s="101"/>
      <c r="B9" s="19" t="s">
        <v>100</v>
      </c>
      <c r="C9" s="20">
        <v>150</v>
      </c>
      <c r="D9" s="62">
        <f>16.3/200*C9</f>
        <v>12.225</v>
      </c>
      <c r="E9" s="62">
        <f>18.2/200*C9</f>
        <v>13.65</v>
      </c>
      <c r="F9" s="62">
        <f>34.6/200*C9</f>
        <v>25.950000000000003</v>
      </c>
      <c r="G9" s="62">
        <f>368/200*C9</f>
        <v>276</v>
      </c>
      <c r="H9" s="62">
        <f>0.88/200*C9</f>
        <v>0.66</v>
      </c>
      <c r="I9" s="20">
        <v>330</v>
      </c>
    </row>
    <row r="10" spans="1:9" ht="18" customHeight="1" thickBot="1" x14ac:dyDescent="0.3">
      <c r="A10" s="101"/>
      <c r="B10" s="25" t="s">
        <v>110</v>
      </c>
      <c r="C10" s="26">
        <v>150</v>
      </c>
      <c r="D10" s="26">
        <f>0.6/200*C10</f>
        <v>0.45</v>
      </c>
      <c r="E10" s="26">
        <f>0.1/200*C10</f>
        <v>7.4999999999999997E-2</v>
      </c>
      <c r="F10" s="26">
        <f>20.1/200*C10</f>
        <v>15.075000000000001</v>
      </c>
      <c r="G10" s="26">
        <f>84/200*C10</f>
        <v>63</v>
      </c>
      <c r="H10" s="26">
        <f>0.2/200*C10</f>
        <v>0.15</v>
      </c>
      <c r="I10" s="26">
        <v>495</v>
      </c>
    </row>
    <row r="11" spans="1:9" ht="18" customHeight="1" thickBot="1" x14ac:dyDescent="0.3">
      <c r="A11" s="101"/>
      <c r="B11" s="9" t="s">
        <v>15</v>
      </c>
      <c r="C11" s="20">
        <v>20</v>
      </c>
      <c r="D11" s="20">
        <f>2.28/30*C11</f>
        <v>1.52</v>
      </c>
      <c r="E11" s="20">
        <f>0.24/30*C11</f>
        <v>0.16</v>
      </c>
      <c r="F11" s="20">
        <f>14.76/30*C11</f>
        <v>9.84</v>
      </c>
      <c r="G11" s="20">
        <f>70.2/30*C11</f>
        <v>46.800000000000004</v>
      </c>
      <c r="H11" s="20">
        <v>0</v>
      </c>
      <c r="I11" s="20">
        <v>573</v>
      </c>
    </row>
    <row r="12" spans="1:9" ht="18" customHeight="1" thickBot="1" x14ac:dyDescent="0.3">
      <c r="A12" s="100"/>
      <c r="B12" s="9" t="s">
        <v>16</v>
      </c>
      <c r="C12" s="20">
        <v>20</v>
      </c>
      <c r="D12" s="20">
        <f>2.4/30*C12</f>
        <v>1.6</v>
      </c>
      <c r="E12" s="20">
        <f>0.45/30*C12</f>
        <v>0.30000000000000004</v>
      </c>
      <c r="F12" s="20">
        <f>12.03/30*C12</f>
        <v>8.02</v>
      </c>
      <c r="G12" s="20">
        <f>61.8/30*C12</f>
        <v>41.2</v>
      </c>
      <c r="H12" s="20">
        <v>0</v>
      </c>
      <c r="I12" s="20">
        <v>574</v>
      </c>
    </row>
    <row r="13" spans="1:9" ht="18" customHeight="1" thickBot="1" x14ac:dyDescent="0.3">
      <c r="A13" s="99" t="s">
        <v>17</v>
      </c>
      <c r="B13" s="19" t="s">
        <v>39</v>
      </c>
      <c r="C13" s="20">
        <v>150</v>
      </c>
      <c r="D13" s="20">
        <f>5.8/200*C13</f>
        <v>4.3499999999999996</v>
      </c>
      <c r="E13" s="20">
        <f>5/200*C13</f>
        <v>3.75</v>
      </c>
      <c r="F13" s="20">
        <f>8/200*C13</f>
        <v>6</v>
      </c>
      <c r="G13" s="20">
        <f>156/200*C13</f>
        <v>117</v>
      </c>
      <c r="H13" s="20">
        <f>1.4/200*C13</f>
        <v>1.0499999999999998</v>
      </c>
      <c r="I13" s="20">
        <v>470</v>
      </c>
    </row>
    <row r="14" spans="1:9" ht="18" customHeight="1" thickBot="1" x14ac:dyDescent="0.3">
      <c r="A14" s="100"/>
      <c r="B14" s="19" t="s">
        <v>190</v>
      </c>
      <c r="C14" s="20">
        <v>40</v>
      </c>
      <c r="D14" s="20">
        <f>2/40*C14</f>
        <v>2</v>
      </c>
      <c r="E14" s="20">
        <f>1.8/40*C14</f>
        <v>1.7999999999999998</v>
      </c>
      <c r="F14" s="20">
        <f>28.4/40*C14</f>
        <v>28.4</v>
      </c>
      <c r="G14" s="20">
        <f>132/40*C14</f>
        <v>132</v>
      </c>
      <c r="H14" s="20">
        <v>0</v>
      </c>
      <c r="I14" s="20">
        <v>581</v>
      </c>
    </row>
    <row r="15" spans="1:9" ht="18" customHeight="1" thickBot="1" x14ac:dyDescent="0.3">
      <c r="A15" s="99" t="s">
        <v>18</v>
      </c>
      <c r="B15" s="19" t="s">
        <v>101</v>
      </c>
      <c r="C15" s="20">
        <v>100</v>
      </c>
      <c r="D15" s="20">
        <f>23.85/150*C15</f>
        <v>15.9</v>
      </c>
      <c r="E15" s="20">
        <f>11.55/150*C15</f>
        <v>7.7</v>
      </c>
      <c r="F15" s="20">
        <f>22.5/150*C15</f>
        <v>15</v>
      </c>
      <c r="G15" s="20">
        <f>291/150*C15</f>
        <v>194</v>
      </c>
      <c r="H15" s="20">
        <v>0</v>
      </c>
      <c r="I15" s="20">
        <v>279</v>
      </c>
    </row>
    <row r="16" spans="1:9" ht="18" customHeight="1" thickBot="1" x14ac:dyDescent="0.3">
      <c r="A16" s="101"/>
      <c r="B16" s="19" t="s">
        <v>189</v>
      </c>
      <c r="C16" s="20">
        <v>20</v>
      </c>
      <c r="D16" s="62">
        <f>0.05/30*C16</f>
        <v>3.3333333333333333E-2</v>
      </c>
      <c r="E16" s="62">
        <v>0</v>
      </c>
      <c r="F16" s="62">
        <f>4.75/30*C16</f>
        <v>3.1666666666666665</v>
      </c>
      <c r="G16" s="20">
        <f>19.2/30*C16</f>
        <v>12.8</v>
      </c>
      <c r="H16" s="20">
        <v>0</v>
      </c>
      <c r="I16" s="20">
        <v>440</v>
      </c>
    </row>
    <row r="17" spans="1:9" ht="18" customHeight="1" thickBot="1" x14ac:dyDescent="0.3">
      <c r="A17" s="101"/>
      <c r="B17" s="19" t="s">
        <v>69</v>
      </c>
      <c r="C17" s="20">
        <v>150</v>
      </c>
      <c r="D17" s="62">
        <f>0.3/200*C17</f>
        <v>0.22500000000000001</v>
      </c>
      <c r="E17" s="62">
        <f>0.1/200*C17</f>
        <v>7.4999999999999997E-2</v>
      </c>
      <c r="F17" s="62">
        <f>9.5/200*C17</f>
        <v>7.125</v>
      </c>
      <c r="G17" s="62">
        <f>40/200*C17</f>
        <v>30</v>
      </c>
      <c r="H17" s="62">
        <f>1/200*C17</f>
        <v>0.75</v>
      </c>
      <c r="I17" s="20" t="s">
        <v>128</v>
      </c>
    </row>
    <row r="18" spans="1:9" ht="18" customHeight="1" thickBot="1" x14ac:dyDescent="0.3">
      <c r="A18" s="101"/>
      <c r="B18" s="19"/>
      <c r="C18" s="20"/>
      <c r="D18" s="20"/>
      <c r="E18" s="20"/>
      <c r="F18" s="20"/>
      <c r="G18" s="20"/>
      <c r="H18" s="20"/>
      <c r="I18" s="20"/>
    </row>
    <row r="19" spans="1:9" ht="18" customHeight="1" thickBot="1" x14ac:dyDescent="0.3">
      <c r="A19" s="101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8" customHeight="1" thickBot="1" x14ac:dyDescent="0.3">
      <c r="A20" s="100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x14ac:dyDescent="0.25">
      <c r="A21" s="99" t="s">
        <v>33</v>
      </c>
      <c r="B21" s="102"/>
      <c r="C21" s="99">
        <f>SUM(C3:C20)</f>
        <v>1455</v>
      </c>
      <c r="D21" s="108">
        <f>SUM(D3:D20)</f>
        <v>56.538333333333341</v>
      </c>
      <c r="E21" s="108">
        <f>SUM(E3:E19)</f>
        <v>49.594999999999999</v>
      </c>
      <c r="F21" s="108">
        <f>SUM(F3:F20)</f>
        <v>192.82166666666669</v>
      </c>
      <c r="G21" s="108">
        <f>SUM(G3:G20)</f>
        <v>1472</v>
      </c>
      <c r="H21" s="99">
        <f>SUM(H3:H20)</f>
        <v>10.620000000000001</v>
      </c>
      <c r="I21" s="105"/>
    </row>
    <row r="22" spans="1:9" x14ac:dyDescent="0.25">
      <c r="A22" s="101"/>
      <c r="B22" s="103"/>
      <c r="C22" s="101"/>
      <c r="D22" s="109"/>
      <c r="E22" s="109"/>
      <c r="F22" s="109"/>
      <c r="G22" s="109"/>
      <c r="H22" s="101"/>
      <c r="I22" s="106"/>
    </row>
    <row r="23" spans="1:9" ht="15.75" thickBot="1" x14ac:dyDescent="0.3">
      <c r="A23" s="100"/>
      <c r="B23" s="104"/>
      <c r="C23" s="100"/>
      <c r="D23" s="110"/>
      <c r="E23" s="110"/>
      <c r="F23" s="110"/>
      <c r="G23" s="110"/>
      <c r="H23" s="100"/>
      <c r="I23" s="107"/>
    </row>
    <row r="24" spans="1:9" ht="17.100000000000001" customHeight="1" x14ac:dyDescent="0.25"/>
    <row r="25" spans="1:9" ht="17.100000000000001" customHeight="1" x14ac:dyDescent="0.25"/>
  </sheetData>
  <mergeCells count="18">
    <mergeCell ref="I21:I23"/>
    <mergeCell ref="D21:D23"/>
    <mergeCell ref="E21:E23"/>
    <mergeCell ref="F21:F23"/>
    <mergeCell ref="G21:G23"/>
    <mergeCell ref="H21:H23"/>
    <mergeCell ref="A21:A23"/>
    <mergeCell ref="B21:B23"/>
    <mergeCell ref="C21:C23"/>
    <mergeCell ref="C1:C2"/>
    <mergeCell ref="A3:A5"/>
    <mergeCell ref="A13:A14"/>
    <mergeCell ref="A7:A12"/>
    <mergeCell ref="D1:F1"/>
    <mergeCell ref="G1:G2"/>
    <mergeCell ref="H1:H2"/>
    <mergeCell ref="I1:I2"/>
    <mergeCell ref="A15:A2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13" sqref="C13"/>
    </sheetView>
  </sheetViews>
  <sheetFormatPr defaultRowHeight="15" x14ac:dyDescent="0.25"/>
  <cols>
    <col min="1" max="1" width="17.28515625" customWidth="1"/>
    <col min="2" max="2" width="36.85546875" customWidth="1"/>
    <col min="3" max="6" width="10.85546875" customWidth="1"/>
    <col min="7" max="7" width="13" customWidth="1"/>
    <col min="8" max="8" width="12" customWidth="1"/>
    <col min="9" max="9" width="10.85546875" customWidth="1"/>
  </cols>
  <sheetData>
    <row r="1" spans="1:9" ht="34.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3.75" customHeight="1" thickBot="1" x14ac:dyDescent="0.3">
      <c r="A2" s="17" t="s">
        <v>36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" customHeight="1" thickBot="1" x14ac:dyDescent="0.3">
      <c r="A3" s="76" t="s">
        <v>12</v>
      </c>
      <c r="B3" s="25" t="s">
        <v>82</v>
      </c>
      <c r="C3" s="26">
        <v>150</v>
      </c>
      <c r="D3" s="26">
        <f>4.8/200*C3</f>
        <v>3.6</v>
      </c>
      <c r="E3" s="26">
        <f>5/200*C3</f>
        <v>3.75</v>
      </c>
      <c r="F3" s="26">
        <f>16.4/200*C3</f>
        <v>12.299999999999999</v>
      </c>
      <c r="G3" s="26">
        <f>156/200*C3</f>
        <v>117</v>
      </c>
      <c r="H3" s="26">
        <f>0.9/200*C3</f>
        <v>0.67500000000000004</v>
      </c>
      <c r="I3" s="26">
        <v>140</v>
      </c>
    </row>
    <row r="4" spans="1:9" ht="18" customHeight="1" thickBot="1" x14ac:dyDescent="0.3">
      <c r="A4" s="87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8" customHeight="1" thickBot="1" x14ac:dyDescent="0.3">
      <c r="A5" s="77"/>
      <c r="B5" s="23" t="s">
        <v>70</v>
      </c>
      <c r="C5" s="20">
        <v>150</v>
      </c>
      <c r="D5" s="20">
        <f>2.8/200*C5</f>
        <v>2.0999999999999996</v>
      </c>
      <c r="E5" s="62">
        <f>2.5/200*C5</f>
        <v>1.875</v>
      </c>
      <c r="F5" s="20">
        <f>13.6/200*C5</f>
        <v>10.200000000000001</v>
      </c>
      <c r="G5" s="20">
        <f>88/200*C5</f>
        <v>66</v>
      </c>
      <c r="H5" s="62">
        <f>0.7/200*C5</f>
        <v>0.52499999999999991</v>
      </c>
      <c r="I5" s="20">
        <v>465</v>
      </c>
    </row>
    <row r="6" spans="1:9" ht="33.75" thickBot="1" x14ac:dyDescent="0.3">
      <c r="A6" s="1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76" t="s">
        <v>14</v>
      </c>
      <c r="B7" s="50" t="s">
        <v>95</v>
      </c>
      <c r="C7" s="26">
        <v>40</v>
      </c>
      <c r="D7" s="64">
        <f>1.1/60*C7</f>
        <v>0.73333333333333339</v>
      </c>
      <c r="E7" s="26">
        <f>3.66/60*C7</f>
        <v>2.4400000000000004</v>
      </c>
      <c r="F7" s="26">
        <f>3.48/60*C7</f>
        <v>2.3200000000000003</v>
      </c>
      <c r="G7" s="26">
        <f>51.6/60*C7</f>
        <v>34.4</v>
      </c>
      <c r="H7" s="64">
        <f>0.65/60*C7</f>
        <v>0.43333333333333335</v>
      </c>
      <c r="I7" s="26">
        <v>25</v>
      </c>
    </row>
    <row r="8" spans="1:9" ht="18" customHeight="1" thickBot="1" x14ac:dyDescent="0.3">
      <c r="A8" s="87"/>
      <c r="B8" s="35" t="s">
        <v>96</v>
      </c>
      <c r="C8" s="43">
        <v>150</v>
      </c>
      <c r="D8" s="63">
        <f>9.1/200*C8</f>
        <v>6.8250000000000002</v>
      </c>
      <c r="E8" s="43">
        <f>14.6/200*C8</f>
        <v>10.95</v>
      </c>
      <c r="F8" s="63">
        <f>6.3/200*C8</f>
        <v>4.7249999999999996</v>
      </c>
      <c r="G8" s="63">
        <f>93/200*C8</f>
        <v>69.75</v>
      </c>
      <c r="H8" s="43">
        <v>0</v>
      </c>
      <c r="I8" s="43">
        <v>87</v>
      </c>
    </row>
    <row r="9" spans="1:9" ht="18" customHeight="1" thickBot="1" x14ac:dyDescent="0.3">
      <c r="A9" s="87"/>
      <c r="B9" s="32" t="s">
        <v>97</v>
      </c>
      <c r="C9" s="26">
        <v>60</v>
      </c>
      <c r="D9" s="26">
        <f>14/70*C9</f>
        <v>12</v>
      </c>
      <c r="E9" s="26">
        <f>12.6/200*C9</f>
        <v>3.7800000000000002</v>
      </c>
      <c r="F9" s="64">
        <f>7.5/200*C9</f>
        <v>2.25</v>
      </c>
      <c r="G9" s="64">
        <f>199/200*C9</f>
        <v>59.7</v>
      </c>
      <c r="H9" s="26">
        <f>0.6/200*C8</f>
        <v>0.45</v>
      </c>
      <c r="I9" s="26">
        <v>372</v>
      </c>
    </row>
    <row r="10" spans="1:9" ht="18" customHeight="1" thickBot="1" x14ac:dyDescent="0.3">
      <c r="A10" s="87"/>
      <c r="B10" s="33" t="s">
        <v>27</v>
      </c>
      <c r="C10" s="20">
        <v>120</v>
      </c>
      <c r="D10" s="20">
        <f>8.85/150*C10</f>
        <v>7.08</v>
      </c>
      <c r="E10" s="20">
        <f>6.61/150*C10</f>
        <v>5.2880000000000003</v>
      </c>
      <c r="F10" s="20">
        <f>39.2/150*C10</f>
        <v>31.360000000000003</v>
      </c>
      <c r="G10" s="20">
        <f>251.8/150*C10</f>
        <v>201.44</v>
      </c>
      <c r="H10" s="20">
        <v>0</v>
      </c>
      <c r="I10" s="20">
        <v>202</v>
      </c>
    </row>
    <row r="11" spans="1:9" ht="18" customHeight="1" thickBot="1" x14ac:dyDescent="0.3">
      <c r="A11" s="87"/>
      <c r="B11" s="25" t="s">
        <v>78</v>
      </c>
      <c r="C11" s="20">
        <v>20</v>
      </c>
      <c r="D11" s="62">
        <f>1.22/30*C11</f>
        <v>0.81333333333333324</v>
      </c>
      <c r="E11" s="62">
        <f>7.32/30*C11</f>
        <v>4.8800000000000008</v>
      </c>
      <c r="F11" s="62">
        <f>4.73/30*C11</f>
        <v>3.1533333333333333</v>
      </c>
      <c r="G11" s="62">
        <f>26.9/30*C11</f>
        <v>17.933333333333334</v>
      </c>
      <c r="H11" s="62">
        <f>10.4/30*C11</f>
        <v>6.9333333333333336</v>
      </c>
      <c r="I11" s="20">
        <v>420</v>
      </c>
    </row>
    <row r="12" spans="1:9" ht="18" customHeight="1" thickBot="1" x14ac:dyDescent="0.3">
      <c r="A12" s="87"/>
      <c r="B12" s="19" t="s">
        <v>73</v>
      </c>
      <c r="C12" s="20">
        <v>150</v>
      </c>
      <c r="D12" s="62">
        <f>0.2/200*C12</f>
        <v>0.15</v>
      </c>
      <c r="E12" s="62">
        <f>0.1/200*C12</f>
        <v>7.4999999999999997E-2</v>
      </c>
      <c r="F12" s="62">
        <f>10.7/200*C12</f>
        <v>8.0250000000000004</v>
      </c>
      <c r="G12" s="62">
        <f>44/200*C12</f>
        <v>33</v>
      </c>
      <c r="H12" s="62">
        <f>16.5/200*C12</f>
        <v>12.375</v>
      </c>
      <c r="I12" s="20">
        <v>491</v>
      </c>
    </row>
    <row r="13" spans="1:9" ht="18" customHeight="1" thickBot="1" x14ac:dyDescent="0.3">
      <c r="A13" s="87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8" customHeight="1" thickBot="1" x14ac:dyDescent="0.3">
      <c r="A14" s="77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8" customHeight="1" thickBot="1" x14ac:dyDescent="0.3">
      <c r="A15" s="76" t="s">
        <v>17</v>
      </c>
      <c r="B15" s="19" t="s">
        <v>118</v>
      </c>
      <c r="C15" s="20">
        <v>150</v>
      </c>
      <c r="D15" s="62">
        <f>5.8/200*C15</f>
        <v>4.3499999999999996</v>
      </c>
      <c r="E15" s="62">
        <f>5.3/200*C15</f>
        <v>3.9750000000000001</v>
      </c>
      <c r="F15" s="62">
        <f>9.1/200*C15</f>
        <v>6.8250000000000002</v>
      </c>
      <c r="G15" s="62">
        <f>108/200*C15</f>
        <v>81</v>
      </c>
      <c r="H15" s="62">
        <f>1.4/200*C15</f>
        <v>1.0499999999999998</v>
      </c>
      <c r="I15" s="20">
        <v>469</v>
      </c>
    </row>
    <row r="16" spans="1:9" ht="18" customHeight="1" thickBot="1" x14ac:dyDescent="0.3">
      <c r="A16" s="77"/>
      <c r="B16" s="19" t="s">
        <v>139</v>
      </c>
      <c r="C16" s="20">
        <v>50</v>
      </c>
      <c r="D16" s="62">
        <f>5.3/60*C16</f>
        <v>4.416666666666667</v>
      </c>
      <c r="E16" s="62">
        <f>4.7/60*C16</f>
        <v>3.916666666666667</v>
      </c>
      <c r="F16" s="62">
        <f>28.8/60*C16</f>
        <v>24.000000000000004</v>
      </c>
      <c r="G16" s="62">
        <f>197/60*C16</f>
        <v>164.16666666666666</v>
      </c>
      <c r="H16" s="20">
        <v>0</v>
      </c>
      <c r="I16" s="20">
        <v>541</v>
      </c>
    </row>
    <row r="17" spans="1:9" ht="18" customHeight="1" thickBot="1" x14ac:dyDescent="0.3">
      <c r="A17" s="76" t="s">
        <v>18</v>
      </c>
      <c r="B17" s="19" t="s">
        <v>140</v>
      </c>
      <c r="C17" s="20">
        <v>150</v>
      </c>
      <c r="D17" s="20">
        <f>3.8/200*C17</f>
        <v>2.85</v>
      </c>
      <c r="E17" s="20">
        <f>8.6/200*C17</f>
        <v>6.4499999999999993</v>
      </c>
      <c r="F17" s="20">
        <f>18.7/200*C17</f>
        <v>14.025</v>
      </c>
      <c r="G17" s="20">
        <f>170/200*C17</f>
        <v>127.5</v>
      </c>
      <c r="H17" s="20">
        <f>12/200*C17</f>
        <v>9</v>
      </c>
      <c r="I17" s="20">
        <v>177</v>
      </c>
    </row>
    <row r="18" spans="1:9" ht="18" customHeight="1" thickBot="1" x14ac:dyDescent="0.3">
      <c r="A18" s="87"/>
      <c r="B18" s="19" t="s">
        <v>69</v>
      </c>
      <c r="C18" s="20">
        <v>150</v>
      </c>
      <c r="D18" s="62">
        <f>0.3/200*C18</f>
        <v>0.22500000000000001</v>
      </c>
      <c r="E18" s="62">
        <f>0.1/200*C18</f>
        <v>7.4999999999999997E-2</v>
      </c>
      <c r="F18" s="62">
        <f>9.5/200*C18</f>
        <v>7.125</v>
      </c>
      <c r="G18" s="62">
        <f>40/200*C18</f>
        <v>30</v>
      </c>
      <c r="H18" s="62">
        <f>1/200*C18</f>
        <v>0.75</v>
      </c>
      <c r="I18" s="20" t="s">
        <v>128</v>
      </c>
    </row>
    <row r="19" spans="1:9" ht="18" customHeight="1" thickBot="1" x14ac:dyDescent="0.3">
      <c r="A19" s="87"/>
      <c r="B19" s="19" t="s">
        <v>158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8" customHeight="1" thickBot="1" x14ac:dyDescent="0.3">
      <c r="A20" s="87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8" customHeight="1" thickBot="1" x14ac:dyDescent="0.3">
      <c r="A21" s="77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76" t="s">
        <v>63</v>
      </c>
      <c r="B22" s="88"/>
      <c r="C22" s="76">
        <f t="shared" ref="C22:H22" si="0">SUM(C3:C21)</f>
        <v>1645</v>
      </c>
      <c r="D22" s="84">
        <f t="shared" si="0"/>
        <v>53.363333333333337</v>
      </c>
      <c r="E22" s="84">
        <f t="shared" si="0"/>
        <v>56.304666666666655</v>
      </c>
      <c r="F22" s="84">
        <f t="shared" si="0"/>
        <v>190.82833333333338</v>
      </c>
      <c r="G22" s="84">
        <f t="shared" si="0"/>
        <v>1360.79</v>
      </c>
      <c r="H22" s="84">
        <f t="shared" si="0"/>
        <v>41.191666666666663</v>
      </c>
      <c r="I22" s="81"/>
    </row>
    <row r="23" spans="1:9" ht="19.5" customHeight="1" thickBot="1" x14ac:dyDescent="0.3">
      <c r="A23" s="77"/>
      <c r="B23" s="89"/>
      <c r="C23" s="77"/>
      <c r="D23" s="86"/>
      <c r="E23" s="86"/>
      <c r="F23" s="86"/>
      <c r="G23" s="86"/>
      <c r="H23" s="86"/>
      <c r="I23" s="83"/>
    </row>
    <row r="25" spans="1:9" x14ac:dyDescent="0.25">
      <c r="A25" s="111"/>
      <c r="B25" s="112"/>
      <c r="C25" s="112"/>
      <c r="D25" s="112"/>
      <c r="E25" s="112"/>
      <c r="F25" s="112"/>
      <c r="G25" s="112"/>
      <c r="H25" s="112"/>
    </row>
    <row r="26" spans="1:9" x14ac:dyDescent="0.25">
      <c r="A26" s="111"/>
      <c r="B26" s="112"/>
      <c r="C26" s="112"/>
      <c r="D26" s="112"/>
      <c r="E26" s="112"/>
      <c r="F26" s="112"/>
      <c r="G26" s="112"/>
      <c r="H26" s="112"/>
    </row>
    <row r="27" spans="1:9" x14ac:dyDescent="0.25">
      <c r="A27" s="14"/>
      <c r="B27" s="14"/>
      <c r="C27" s="14"/>
      <c r="D27" s="14"/>
      <c r="E27" s="14"/>
      <c r="F27" s="14"/>
      <c r="G27" s="14"/>
      <c r="H27" s="14"/>
    </row>
  </sheetData>
  <mergeCells count="26">
    <mergeCell ref="I22:I23"/>
    <mergeCell ref="A25:A26"/>
    <mergeCell ref="B25:B26"/>
    <mergeCell ref="C25:C26"/>
    <mergeCell ref="D25:D26"/>
    <mergeCell ref="G25:G26"/>
    <mergeCell ref="E25:E26"/>
    <mergeCell ref="F25:F26"/>
    <mergeCell ref="H25:H26"/>
    <mergeCell ref="E22:E23"/>
    <mergeCell ref="F22:F23"/>
    <mergeCell ref="G22:G23"/>
    <mergeCell ref="H22:H23"/>
    <mergeCell ref="A3:A5"/>
    <mergeCell ref="A22:A23"/>
    <mergeCell ref="B22:B23"/>
    <mergeCell ref="C22:C23"/>
    <mergeCell ref="D22:D23"/>
    <mergeCell ref="A7:A14"/>
    <mergeCell ref="A15:A16"/>
    <mergeCell ref="A17:A21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4" sqref="D4"/>
    </sheetView>
  </sheetViews>
  <sheetFormatPr defaultRowHeight="15" x14ac:dyDescent="0.25"/>
  <cols>
    <col min="1" max="1" width="14.28515625" customWidth="1"/>
    <col min="2" max="2" width="45.5703125" customWidth="1"/>
    <col min="3" max="6" width="10.7109375" customWidth="1"/>
    <col min="7" max="7" width="12.140625" customWidth="1"/>
    <col min="8" max="8" width="11.42578125" customWidth="1"/>
    <col min="9" max="9" width="10.7109375" customWidth="1"/>
  </cols>
  <sheetData>
    <row r="1" spans="1:9" ht="36.7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6.75" customHeight="1" thickBot="1" x14ac:dyDescent="0.3">
      <c r="A2" s="17" t="s">
        <v>37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" customHeight="1" thickBot="1" x14ac:dyDescent="0.3">
      <c r="A3" s="76" t="s">
        <v>12</v>
      </c>
      <c r="B3" s="19" t="s">
        <v>21</v>
      </c>
      <c r="C3" s="20">
        <v>150</v>
      </c>
      <c r="D3" s="62">
        <f>6.22/200*C3</f>
        <v>4.665</v>
      </c>
      <c r="E3" s="20">
        <f>6.6/200*C3</f>
        <v>4.95</v>
      </c>
      <c r="F3" s="20">
        <f>31.2/200*C3</f>
        <v>23.4</v>
      </c>
      <c r="G3" s="20">
        <f>209/200*C3</f>
        <v>156.75</v>
      </c>
      <c r="H3" s="65">
        <f>1.38/200*C3</f>
        <v>1.0349999999999999</v>
      </c>
      <c r="I3" s="20">
        <v>230</v>
      </c>
    </row>
    <row r="4" spans="1:9" ht="18" customHeight="1" thickBot="1" x14ac:dyDescent="0.3">
      <c r="A4" s="87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8" customHeight="1" thickBot="1" x14ac:dyDescent="0.3">
      <c r="A5" s="77"/>
      <c r="B5" s="9" t="s">
        <v>25</v>
      </c>
      <c r="C5" s="7">
        <v>150</v>
      </c>
      <c r="D5" s="7">
        <f>1.6/200*C5</f>
        <v>1.2</v>
      </c>
      <c r="E5" s="66">
        <f>1.3/200*C5</f>
        <v>0.97500000000000009</v>
      </c>
      <c r="F5" s="66">
        <f>11.5/200*C5</f>
        <v>8.625</v>
      </c>
      <c r="G5" s="7">
        <f>84/200*C5</f>
        <v>63</v>
      </c>
      <c r="H5" s="66">
        <f>0.3/200*C5</f>
        <v>0.22500000000000001</v>
      </c>
      <c r="I5" s="7">
        <v>460</v>
      </c>
    </row>
    <row r="6" spans="1:9" ht="36" customHeight="1" thickBot="1" x14ac:dyDescent="0.3">
      <c r="A6" s="17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20.25" customHeight="1" thickBot="1" x14ac:dyDescent="0.3">
      <c r="A7" s="76" t="s">
        <v>14</v>
      </c>
      <c r="B7" s="32" t="s">
        <v>83</v>
      </c>
      <c r="C7" s="26">
        <v>40</v>
      </c>
      <c r="D7" s="26">
        <f>0.84/60*C7</f>
        <v>0.56000000000000005</v>
      </c>
      <c r="E7" s="26">
        <f>3.66/60*C7</f>
        <v>2.4400000000000004</v>
      </c>
      <c r="F7" s="26">
        <f>4.56/60*C7</f>
        <v>3.04</v>
      </c>
      <c r="G7" s="26">
        <f>54.6/60*C7</f>
        <v>36.4</v>
      </c>
      <c r="H7" s="26">
        <f>4.62/60*C7</f>
        <v>3.08</v>
      </c>
      <c r="I7" s="34">
        <v>26</v>
      </c>
    </row>
    <row r="8" spans="1:9" ht="18" customHeight="1" thickBot="1" x14ac:dyDescent="0.3">
      <c r="A8" s="87"/>
      <c r="B8" s="19" t="s">
        <v>91</v>
      </c>
      <c r="C8" s="20">
        <v>150</v>
      </c>
      <c r="D8" s="62">
        <f>2.1/200*C8</f>
        <v>1.5750000000000002</v>
      </c>
      <c r="E8" s="20">
        <f>4.08/200*C8</f>
        <v>3.06</v>
      </c>
      <c r="F8" s="20">
        <f>10.6/200*C8</f>
        <v>7.95</v>
      </c>
      <c r="G8" s="20">
        <f>87.6/200*C8</f>
        <v>65.699999999999989</v>
      </c>
      <c r="H8" s="20">
        <f>5.68/200*C8</f>
        <v>4.26</v>
      </c>
      <c r="I8" s="20">
        <v>100</v>
      </c>
    </row>
    <row r="9" spans="1:9" ht="18" customHeight="1" thickBot="1" x14ac:dyDescent="0.3">
      <c r="A9" s="87"/>
      <c r="B9" s="22" t="s">
        <v>92</v>
      </c>
      <c r="C9" s="68">
        <v>60</v>
      </c>
      <c r="D9" s="68">
        <f>9.8/200*C9</f>
        <v>2.94</v>
      </c>
      <c r="E9" s="68">
        <f>4.2/200*C9</f>
        <v>1.26</v>
      </c>
      <c r="F9" s="68">
        <f>2.1/200*C9</f>
        <v>0.63</v>
      </c>
      <c r="G9" s="68">
        <f>78.4/200*C9</f>
        <v>23.52</v>
      </c>
      <c r="H9" s="69">
        <f>0.35/200*C9</f>
        <v>0.10499999999999998</v>
      </c>
      <c r="I9" s="68">
        <v>303</v>
      </c>
    </row>
    <row r="10" spans="1:9" ht="18" customHeight="1" thickBot="1" x14ac:dyDescent="0.3">
      <c r="A10" s="113"/>
      <c r="B10" s="70" t="s">
        <v>22</v>
      </c>
      <c r="C10" s="26">
        <v>120</v>
      </c>
      <c r="D10" s="26">
        <f>4.05/150*C10</f>
        <v>3.2399999999999998</v>
      </c>
      <c r="E10" s="26">
        <f>6/150*C10</f>
        <v>4.8</v>
      </c>
      <c r="F10" s="26">
        <f>8.7/150*C10</f>
        <v>6.9599999999999991</v>
      </c>
      <c r="G10" s="71">
        <f>105/150*C10</f>
        <v>84</v>
      </c>
      <c r="H10" s="26">
        <f>3.6/150*C10</f>
        <v>2.88</v>
      </c>
      <c r="I10" s="34">
        <v>377</v>
      </c>
    </row>
    <row r="11" spans="1:9" ht="18" customHeight="1" thickBot="1" x14ac:dyDescent="0.3">
      <c r="A11" s="87"/>
      <c r="B11" s="19" t="s">
        <v>93</v>
      </c>
      <c r="C11" s="20">
        <v>20</v>
      </c>
      <c r="D11" s="20">
        <f>3.33/30*C11</f>
        <v>2.2200000000000002</v>
      </c>
      <c r="E11" s="62">
        <f>6.19/30*C11</f>
        <v>4.1266666666666669</v>
      </c>
      <c r="F11" s="62">
        <f>6.37/30*C11</f>
        <v>4.246666666666667</v>
      </c>
      <c r="G11" s="62">
        <f>9.45/30*C11</f>
        <v>6.3</v>
      </c>
      <c r="H11" s="62">
        <f>0.65/30*C11</f>
        <v>0.43333333333333335</v>
      </c>
      <c r="I11" s="20">
        <v>403</v>
      </c>
    </row>
    <row r="12" spans="1:9" ht="18" customHeight="1" thickBot="1" x14ac:dyDescent="0.3">
      <c r="A12" s="87"/>
      <c r="B12" s="19" t="s">
        <v>73</v>
      </c>
      <c r="C12" s="20">
        <v>150</v>
      </c>
      <c r="D12" s="62">
        <f>0.2/200*C12</f>
        <v>0.15</v>
      </c>
      <c r="E12" s="62">
        <f>0.1/200*C12</f>
        <v>7.4999999999999997E-2</v>
      </c>
      <c r="F12" s="62">
        <f>10.7/200*C12</f>
        <v>8.0250000000000004</v>
      </c>
      <c r="G12" s="62">
        <f>44/200*C12</f>
        <v>33</v>
      </c>
      <c r="H12" s="62">
        <f>16.5/200*C12</f>
        <v>12.375</v>
      </c>
      <c r="I12" s="20">
        <v>491</v>
      </c>
    </row>
    <row r="13" spans="1:9" ht="18" customHeight="1" thickBot="1" x14ac:dyDescent="0.3">
      <c r="A13" s="87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8" customHeight="1" thickBot="1" x14ac:dyDescent="0.3">
      <c r="A14" s="77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8" customHeight="1" thickBot="1" x14ac:dyDescent="0.3">
      <c r="A15" s="76" t="s">
        <v>17</v>
      </c>
      <c r="B15" s="25" t="s">
        <v>199</v>
      </c>
      <c r="C15" s="20">
        <v>150</v>
      </c>
      <c r="D15" s="20">
        <f>5.8/200*C15</f>
        <v>4.3499999999999996</v>
      </c>
      <c r="E15" s="20">
        <f>5/200*C15</f>
        <v>3.75</v>
      </c>
      <c r="F15" s="20">
        <f>8/200*C15</f>
        <v>6</v>
      </c>
      <c r="G15" s="20">
        <f>156/200*C15</f>
        <v>117</v>
      </c>
      <c r="H15" s="20">
        <f>1.4/200*C15</f>
        <v>1.0499999999999998</v>
      </c>
      <c r="I15" s="20">
        <v>470</v>
      </c>
    </row>
    <row r="16" spans="1:9" ht="18" customHeight="1" thickBot="1" x14ac:dyDescent="0.3">
      <c r="A16" s="77"/>
      <c r="B16" s="19" t="s">
        <v>142</v>
      </c>
      <c r="C16" s="20">
        <v>30</v>
      </c>
      <c r="D16" s="62">
        <f>7.5/40*C16</f>
        <v>5.625</v>
      </c>
      <c r="E16" s="20">
        <f>9.8/40*C16</f>
        <v>7.3500000000000005</v>
      </c>
      <c r="F16" s="20">
        <f>74.4/40*C16</f>
        <v>55.800000000000004</v>
      </c>
      <c r="G16" s="20">
        <f>166/40*C16</f>
        <v>124.50000000000001</v>
      </c>
      <c r="H16" s="20">
        <v>0</v>
      </c>
      <c r="I16" s="20">
        <v>582</v>
      </c>
    </row>
    <row r="17" spans="1:9" ht="16.5" customHeight="1" thickBot="1" x14ac:dyDescent="0.3">
      <c r="A17" s="76" t="s">
        <v>18</v>
      </c>
      <c r="B17" s="19" t="s">
        <v>94</v>
      </c>
      <c r="C17" s="20">
        <v>150</v>
      </c>
      <c r="D17" s="20">
        <f>5.76/200*C17</f>
        <v>4.32</v>
      </c>
      <c r="E17" s="20">
        <f>6.48/200*C17</f>
        <v>4.8600000000000012</v>
      </c>
      <c r="F17" s="62">
        <f>19.7/200*C17</f>
        <v>14.774999999999999</v>
      </c>
      <c r="G17" s="20">
        <f>160.2/200*C17</f>
        <v>120.14999999999999</v>
      </c>
      <c r="H17" s="62">
        <f>0.9/200*C17</f>
        <v>0.67500000000000004</v>
      </c>
      <c r="I17" s="20">
        <v>139</v>
      </c>
    </row>
    <row r="18" spans="1:9" ht="18" customHeight="1" thickBot="1" x14ac:dyDescent="0.3">
      <c r="A18" s="87"/>
      <c r="B18" s="19" t="s">
        <v>69</v>
      </c>
      <c r="C18" s="20">
        <v>150</v>
      </c>
      <c r="D18" s="62">
        <f>0.3/200*C18</f>
        <v>0.22500000000000001</v>
      </c>
      <c r="E18" s="62">
        <f>0.1/200*C18</f>
        <v>7.4999999999999997E-2</v>
      </c>
      <c r="F18" s="62">
        <f>9.5/200*C18</f>
        <v>7.125</v>
      </c>
      <c r="G18" s="62">
        <f>40/200*C18</f>
        <v>30</v>
      </c>
      <c r="H18" s="62">
        <f>1/200*C18</f>
        <v>0.75</v>
      </c>
      <c r="I18" s="20" t="s">
        <v>128</v>
      </c>
    </row>
    <row r="19" spans="1:9" ht="18" customHeight="1" thickBot="1" x14ac:dyDescent="0.3">
      <c r="A19" s="87"/>
      <c r="B19" s="19" t="s">
        <v>158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8" customHeight="1" thickBot="1" x14ac:dyDescent="0.3">
      <c r="A20" s="87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8" customHeight="1" thickBot="1" x14ac:dyDescent="0.3">
      <c r="A21" s="77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ht="11.25" customHeight="1" x14ac:dyDescent="0.25">
      <c r="A22" s="76" t="s">
        <v>38</v>
      </c>
      <c r="B22" s="88"/>
      <c r="C22" s="76">
        <f t="shared" ref="C22:H22" si="0">SUM(C3:C21)</f>
        <v>1625</v>
      </c>
      <c r="D22" s="84">
        <f t="shared" si="0"/>
        <v>39.290000000000006</v>
      </c>
      <c r="E22" s="84">
        <f t="shared" si="0"/>
        <v>46.571666666666658</v>
      </c>
      <c r="F22" s="84">
        <f t="shared" si="0"/>
        <v>211.09666666666672</v>
      </c>
      <c r="G22" s="84">
        <f t="shared" si="0"/>
        <v>1219.22</v>
      </c>
      <c r="H22" s="84">
        <f t="shared" si="0"/>
        <v>35.868333333333339</v>
      </c>
      <c r="I22" s="81"/>
    </row>
    <row r="23" spans="1:9" ht="8.25" customHeight="1" x14ac:dyDescent="0.25">
      <c r="A23" s="87"/>
      <c r="B23" s="114"/>
      <c r="C23" s="87"/>
      <c r="D23" s="85"/>
      <c r="E23" s="85"/>
      <c r="F23" s="85"/>
      <c r="G23" s="85"/>
      <c r="H23" s="85"/>
      <c r="I23" s="82"/>
    </row>
    <row r="24" spans="1:9" ht="16.5" customHeight="1" thickBot="1" x14ac:dyDescent="0.3">
      <c r="A24" s="77"/>
      <c r="B24" s="89"/>
      <c r="C24" s="77"/>
      <c r="D24" s="86"/>
      <c r="E24" s="86"/>
      <c r="F24" s="86"/>
      <c r="G24" s="86"/>
      <c r="H24" s="86"/>
      <c r="I24" s="83"/>
    </row>
  </sheetData>
  <mergeCells count="18">
    <mergeCell ref="F22:F24"/>
    <mergeCell ref="G22:G24"/>
    <mergeCell ref="H22:H24"/>
    <mergeCell ref="I22:I24"/>
    <mergeCell ref="A3:A5"/>
    <mergeCell ref="A7:A14"/>
    <mergeCell ref="A15:A16"/>
    <mergeCell ref="A17:A21"/>
    <mergeCell ref="A22:A24"/>
    <mergeCell ref="B22:B24"/>
    <mergeCell ref="C22:C24"/>
    <mergeCell ref="D22:D24"/>
    <mergeCell ref="E22:E24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B3" sqref="B3:I3"/>
    </sheetView>
  </sheetViews>
  <sheetFormatPr defaultRowHeight="15" x14ac:dyDescent="0.25"/>
  <cols>
    <col min="1" max="1" width="14.28515625" customWidth="1"/>
    <col min="2" max="2" width="37.5703125" customWidth="1"/>
    <col min="3" max="6" width="10.85546875" customWidth="1"/>
    <col min="7" max="7" width="11.85546875" customWidth="1"/>
    <col min="8" max="8" width="11.5703125" customWidth="1"/>
    <col min="9" max="9" width="10.85546875" customWidth="1"/>
  </cols>
  <sheetData>
    <row r="1" spans="1:9" ht="35.25" customHeight="1" thickBot="1" x14ac:dyDescent="0.3">
      <c r="A1" s="40" t="s">
        <v>19</v>
      </c>
      <c r="B1" s="16" t="s">
        <v>2</v>
      </c>
      <c r="C1" s="76" t="s">
        <v>4</v>
      </c>
      <c r="D1" s="78" t="s">
        <v>5</v>
      </c>
      <c r="E1" s="79"/>
      <c r="F1" s="80"/>
      <c r="G1" s="76" t="s">
        <v>6</v>
      </c>
      <c r="H1" s="76" t="s">
        <v>7</v>
      </c>
      <c r="I1" s="76" t="s">
        <v>8</v>
      </c>
    </row>
    <row r="2" spans="1:9" ht="33.75" customHeight="1" thickBot="1" x14ac:dyDescent="0.3">
      <c r="A2" s="45" t="s">
        <v>40</v>
      </c>
      <c r="B2" s="18" t="s">
        <v>3</v>
      </c>
      <c r="C2" s="77"/>
      <c r="D2" s="18" t="s">
        <v>9</v>
      </c>
      <c r="E2" s="18" t="s">
        <v>10</v>
      </c>
      <c r="F2" s="18" t="s">
        <v>11</v>
      </c>
      <c r="G2" s="77"/>
      <c r="H2" s="77"/>
      <c r="I2" s="77"/>
    </row>
    <row r="3" spans="1:9" ht="18" customHeight="1" thickBot="1" x14ac:dyDescent="0.3">
      <c r="A3" s="76" t="s">
        <v>12</v>
      </c>
      <c r="B3" s="19" t="s">
        <v>120</v>
      </c>
      <c r="C3" s="20">
        <v>150</v>
      </c>
      <c r="D3" s="20">
        <f>4.68/180*C3</f>
        <v>3.9</v>
      </c>
      <c r="E3" s="20">
        <f>5.94/180*C3</f>
        <v>4.95</v>
      </c>
      <c r="F3" s="62">
        <f>24.8/180*C3</f>
        <v>20.666666666666668</v>
      </c>
      <c r="G3" s="62">
        <f>171.5/180*C3</f>
        <v>142.91666666666666</v>
      </c>
      <c r="H3" s="62">
        <f>1.19/180*C3</f>
        <v>0.9916666666666667</v>
      </c>
      <c r="I3" s="20">
        <v>229</v>
      </c>
    </row>
    <row r="4" spans="1:9" ht="17.25" customHeight="1" thickBot="1" x14ac:dyDescent="0.3">
      <c r="A4" s="87"/>
      <c r="B4" s="19" t="s">
        <v>66</v>
      </c>
      <c r="C4" s="21">
        <v>25</v>
      </c>
      <c r="D4" s="20">
        <v>1.08</v>
      </c>
      <c r="E4" s="20">
        <v>7.43</v>
      </c>
      <c r="F4" s="20">
        <v>9</v>
      </c>
      <c r="G4" s="20">
        <v>93.9</v>
      </c>
      <c r="H4" s="20">
        <v>0</v>
      </c>
      <c r="I4" s="20">
        <v>63</v>
      </c>
    </row>
    <row r="5" spans="1:9" ht="18" customHeight="1" thickBot="1" x14ac:dyDescent="0.3">
      <c r="A5" s="77"/>
      <c r="B5" s="19" t="s">
        <v>67</v>
      </c>
      <c r="C5" s="21">
        <v>150</v>
      </c>
      <c r="D5" s="62">
        <f>3.3/200*C5</f>
        <v>2.4750000000000001</v>
      </c>
      <c r="E5" s="62">
        <f>2.9/200*C5</f>
        <v>2.1749999999999998</v>
      </c>
      <c r="F5" s="62">
        <f>13.8/200*C5</f>
        <v>10.350000000000001</v>
      </c>
      <c r="G5" s="62">
        <f>94/200*C5</f>
        <v>70.5</v>
      </c>
      <c r="H5" s="62">
        <f>0.7/200*C5</f>
        <v>0.52499999999999991</v>
      </c>
      <c r="I5" s="20">
        <v>462</v>
      </c>
    </row>
    <row r="6" spans="1:9" ht="33.75" customHeight="1" thickBot="1" x14ac:dyDescent="0.3">
      <c r="A6" s="45" t="s">
        <v>13</v>
      </c>
      <c r="B6" s="19" t="s">
        <v>141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.75" customHeight="1" thickBot="1" x14ac:dyDescent="0.3">
      <c r="A7" s="76" t="s">
        <v>14</v>
      </c>
      <c r="B7" s="25" t="s">
        <v>143</v>
      </c>
      <c r="C7" s="26">
        <v>30</v>
      </c>
      <c r="D7" s="26">
        <f>1.2/60*C7</f>
        <v>0.6</v>
      </c>
      <c r="E7" s="26">
        <f>0.24/60*C7</f>
        <v>0.12</v>
      </c>
      <c r="F7" s="26">
        <f>6.6/60*C7</f>
        <v>3.3</v>
      </c>
      <c r="G7" s="26">
        <f>30/60*C7</f>
        <v>15</v>
      </c>
      <c r="H7" s="26">
        <f>3.18/60*C7</f>
        <v>1.59</v>
      </c>
      <c r="I7" s="26" t="s">
        <v>144</v>
      </c>
    </row>
    <row r="8" spans="1:9" ht="18" customHeight="1" thickBot="1" x14ac:dyDescent="0.3">
      <c r="A8" s="87"/>
      <c r="B8" s="46" t="s">
        <v>88</v>
      </c>
      <c r="C8" s="20">
        <v>150</v>
      </c>
      <c r="D8" s="20">
        <f>0.72/200*C8</f>
        <v>0.54</v>
      </c>
      <c r="E8" s="20">
        <f>3.48/200*C8</f>
        <v>2.61</v>
      </c>
      <c r="F8" s="20">
        <f>2/200*C8</f>
        <v>1.5</v>
      </c>
      <c r="G8" s="62">
        <f>85.1/200*C8</f>
        <v>63.824999999999996</v>
      </c>
      <c r="H8" s="20">
        <f>1.6/200*C8</f>
        <v>1.2</v>
      </c>
      <c r="I8" s="20">
        <v>130</v>
      </c>
    </row>
    <row r="9" spans="1:9" ht="18" customHeight="1" thickBot="1" x14ac:dyDescent="0.3">
      <c r="A9" s="87"/>
      <c r="B9" s="25" t="s">
        <v>87</v>
      </c>
      <c r="C9" s="34">
        <v>80</v>
      </c>
      <c r="D9" s="34">
        <f>18/100*C9</f>
        <v>14.399999999999999</v>
      </c>
      <c r="E9" s="34">
        <f>5.5/100*C9</f>
        <v>4.4000000000000004</v>
      </c>
      <c r="F9" s="34">
        <f>5.7/100*C9</f>
        <v>4.5600000000000005</v>
      </c>
      <c r="G9" s="34">
        <f>145/100*C9</f>
        <v>116</v>
      </c>
      <c r="H9" s="34">
        <f>5/100*C9</f>
        <v>4</v>
      </c>
      <c r="I9" s="34">
        <v>361</v>
      </c>
    </row>
    <row r="10" spans="1:9" ht="18" customHeight="1" thickBot="1" x14ac:dyDescent="0.3">
      <c r="A10" s="87"/>
      <c r="B10" s="19" t="s">
        <v>104</v>
      </c>
      <c r="C10" s="20">
        <v>120</v>
      </c>
      <c r="D10" s="20">
        <f>5.55/150*C10</f>
        <v>4.4399999999999995</v>
      </c>
      <c r="E10" s="20">
        <f>4.95/150*C10</f>
        <v>3.96</v>
      </c>
      <c r="F10" s="20">
        <f>29.55/150*C10</f>
        <v>23.64</v>
      </c>
      <c r="G10" s="20">
        <f>184.5/150*C10</f>
        <v>147.6</v>
      </c>
      <c r="H10" s="20">
        <v>0</v>
      </c>
      <c r="I10" s="20">
        <v>256</v>
      </c>
    </row>
    <row r="11" spans="1:9" ht="18" customHeight="1" thickBot="1" x14ac:dyDescent="0.3">
      <c r="A11" s="87"/>
      <c r="B11" s="46"/>
      <c r="C11" s="20"/>
      <c r="D11" s="20"/>
      <c r="E11" s="20"/>
      <c r="F11" s="20"/>
      <c r="G11" s="20"/>
      <c r="H11" s="20"/>
      <c r="I11" s="20"/>
    </row>
    <row r="12" spans="1:9" ht="18" customHeight="1" thickBot="1" x14ac:dyDescent="0.3">
      <c r="A12" s="87"/>
      <c r="B12" s="25" t="s">
        <v>110</v>
      </c>
      <c r="C12" s="26">
        <v>150</v>
      </c>
      <c r="D12" s="26">
        <f>0.6/200*C12</f>
        <v>0.45</v>
      </c>
      <c r="E12" s="64">
        <f>0.1/200*C12</f>
        <v>7.4999999999999997E-2</v>
      </c>
      <c r="F12" s="64">
        <f>20.1/200*C12</f>
        <v>15.075000000000001</v>
      </c>
      <c r="G12" s="26">
        <f>84/200*C12</f>
        <v>63</v>
      </c>
      <c r="H12" s="26">
        <f>0.2/200*C12</f>
        <v>0.15</v>
      </c>
      <c r="I12" s="26">
        <v>495</v>
      </c>
    </row>
    <row r="13" spans="1:9" ht="18" customHeight="1" thickBot="1" x14ac:dyDescent="0.3">
      <c r="A13" s="87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8" customHeight="1" thickBot="1" x14ac:dyDescent="0.3">
      <c r="A14" s="77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8" customHeight="1" thickBot="1" x14ac:dyDescent="0.3">
      <c r="A15" s="76" t="s">
        <v>17</v>
      </c>
      <c r="B15" s="25" t="s">
        <v>89</v>
      </c>
      <c r="C15" s="26">
        <v>50</v>
      </c>
      <c r="D15" s="72">
        <f>3.2/60*C15</f>
        <v>2.666666666666667</v>
      </c>
      <c r="E15" s="34">
        <f>2.7/60*C15</f>
        <v>2.2500000000000004</v>
      </c>
      <c r="F15" s="72">
        <f>17.9/60*C15</f>
        <v>14.916666666666664</v>
      </c>
      <c r="G15" s="34">
        <f>146.7/60*C15</f>
        <v>122.24999999999999</v>
      </c>
      <c r="H15" s="72">
        <f>3.4/60*C15</f>
        <v>2.833333333333333</v>
      </c>
      <c r="I15" s="34">
        <v>535</v>
      </c>
    </row>
    <row r="16" spans="1:9" ht="18" customHeight="1" thickBot="1" x14ac:dyDescent="0.3">
      <c r="A16" s="77"/>
      <c r="B16" s="19" t="s">
        <v>42</v>
      </c>
      <c r="C16" s="20">
        <v>150</v>
      </c>
      <c r="D16" s="62">
        <f>0.67/200*C16</f>
        <v>0.50250000000000006</v>
      </c>
      <c r="E16" s="62">
        <f>0.27/200*C16</f>
        <v>0.20250000000000001</v>
      </c>
      <c r="F16" s="62">
        <f>18.3/200*C16</f>
        <v>13.725</v>
      </c>
      <c r="G16" s="62">
        <f>78/200*C16</f>
        <v>58.5</v>
      </c>
      <c r="H16" s="62">
        <f>80/200*C16</f>
        <v>60</v>
      </c>
      <c r="I16" s="20">
        <v>496</v>
      </c>
    </row>
    <row r="17" spans="1:16" ht="18" customHeight="1" thickBot="1" x14ac:dyDescent="0.3">
      <c r="A17" s="76" t="s">
        <v>18</v>
      </c>
      <c r="B17" s="19" t="s">
        <v>90</v>
      </c>
      <c r="C17" s="20">
        <v>100</v>
      </c>
      <c r="D17" s="20">
        <f>4.35/150*C17</f>
        <v>2.9</v>
      </c>
      <c r="E17" s="20">
        <f>8.1/150*C17</f>
        <v>5.4</v>
      </c>
      <c r="F17" s="20">
        <f>16.2/150*C17</f>
        <v>10.8</v>
      </c>
      <c r="G17" s="20">
        <f>154.5/150*C17</f>
        <v>103</v>
      </c>
      <c r="H17" s="20">
        <f>21/150*C17</f>
        <v>14.000000000000002</v>
      </c>
      <c r="I17" s="20">
        <v>152</v>
      </c>
    </row>
    <row r="18" spans="1:16" ht="18" customHeight="1" thickBot="1" x14ac:dyDescent="0.3">
      <c r="A18" s="87"/>
      <c r="B18" s="46" t="s">
        <v>102</v>
      </c>
      <c r="C18" s="20">
        <v>30</v>
      </c>
      <c r="D18" s="20">
        <f>1.9/150*C18</f>
        <v>0.38</v>
      </c>
      <c r="E18" s="20">
        <f>8.9/150*C18</f>
        <v>1.78</v>
      </c>
      <c r="F18" s="20">
        <f>7.7/150*C18</f>
        <v>1.54</v>
      </c>
      <c r="G18" s="20">
        <f>70.8/150*C18</f>
        <v>14.16</v>
      </c>
      <c r="H18" s="20">
        <f>7/150*C18</f>
        <v>1.4000000000000001</v>
      </c>
      <c r="I18" s="20">
        <v>150</v>
      </c>
    </row>
    <row r="19" spans="1:16" ht="18" customHeight="1" thickBot="1" x14ac:dyDescent="0.3">
      <c r="A19" s="87"/>
      <c r="B19" s="19" t="s">
        <v>69</v>
      </c>
      <c r="C19" s="20">
        <v>150</v>
      </c>
      <c r="D19" s="62">
        <f>0.3/200*C19</f>
        <v>0.22500000000000001</v>
      </c>
      <c r="E19" s="62">
        <f>0.1/200*C19</f>
        <v>7.4999999999999997E-2</v>
      </c>
      <c r="F19" s="62">
        <f>9.5/200*C19</f>
        <v>7.125</v>
      </c>
      <c r="G19" s="62">
        <f>40/200*C19</f>
        <v>30</v>
      </c>
      <c r="H19" s="62">
        <f>1/200*C19</f>
        <v>0.75</v>
      </c>
      <c r="I19" s="20" t="s">
        <v>128</v>
      </c>
    </row>
    <row r="20" spans="1:16" ht="18" customHeight="1" thickBot="1" x14ac:dyDescent="0.3">
      <c r="A20" s="87"/>
      <c r="B20" s="19" t="s">
        <v>158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  <c r="P20" t="s">
        <v>72</v>
      </c>
    </row>
    <row r="21" spans="1:16" ht="18" customHeight="1" thickBot="1" x14ac:dyDescent="0.3">
      <c r="A21" s="87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16" ht="18" customHeight="1" thickBot="1" x14ac:dyDescent="0.3">
      <c r="A22" s="77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16" x14ac:dyDescent="0.25">
      <c r="A23" s="76" t="s">
        <v>64</v>
      </c>
      <c r="B23" s="94"/>
      <c r="C23" s="76">
        <f t="shared" ref="C23:H23" si="0">SUM(C3:C22)</f>
        <v>1615</v>
      </c>
      <c r="D23" s="84">
        <f t="shared" si="0"/>
        <v>41.699166666666663</v>
      </c>
      <c r="E23" s="84">
        <f t="shared" si="0"/>
        <v>36.847499999999997</v>
      </c>
      <c r="F23" s="84">
        <f t="shared" si="0"/>
        <v>191.71833333333336</v>
      </c>
      <c r="G23" s="84">
        <f t="shared" si="0"/>
        <v>1305.6516666666669</v>
      </c>
      <c r="H23" s="84">
        <f t="shared" si="0"/>
        <v>96.44</v>
      </c>
      <c r="I23" s="115"/>
    </row>
    <row r="24" spans="1:16" ht="15.75" thickBot="1" x14ac:dyDescent="0.3">
      <c r="A24" s="77"/>
      <c r="B24" s="95"/>
      <c r="C24" s="77"/>
      <c r="D24" s="86"/>
      <c r="E24" s="86"/>
      <c r="F24" s="86"/>
      <c r="G24" s="86"/>
      <c r="H24" s="86"/>
      <c r="I24" s="116"/>
    </row>
  </sheetData>
  <mergeCells count="18">
    <mergeCell ref="H23:H24"/>
    <mergeCell ref="D23:D24"/>
    <mergeCell ref="I23:I24"/>
    <mergeCell ref="A3:A5"/>
    <mergeCell ref="A7:A14"/>
    <mergeCell ref="A15:A16"/>
    <mergeCell ref="A17:A22"/>
    <mergeCell ref="A23:A24"/>
    <mergeCell ref="B23:B24"/>
    <mergeCell ref="C23:C24"/>
    <mergeCell ref="E23:E24"/>
    <mergeCell ref="F23:F24"/>
    <mergeCell ref="G23:G24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День 13</vt:lpstr>
      <vt:lpstr>День 14</vt:lpstr>
      <vt:lpstr>День 15</vt:lpstr>
      <vt:lpstr>День 16</vt:lpstr>
      <vt:lpstr>День 17</vt:lpstr>
      <vt:lpstr>День 18</vt:lpstr>
      <vt:lpstr>День 19</vt:lpstr>
      <vt:lpstr>День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2024-07-19T09:42:23Z</cp:lastPrinted>
  <dcterms:created xsi:type="dcterms:W3CDTF">2022-09-23T11:02:08Z</dcterms:created>
  <dcterms:modified xsi:type="dcterms:W3CDTF">2024-07-19T09:55:02Z</dcterms:modified>
</cp:coreProperties>
</file>